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95" windowWidth="10320" windowHeight="77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GoBack" localSheetId="0">Sheet1!$I$71</definedName>
  </definedNames>
  <calcPr calcId="124519"/>
</workbook>
</file>

<file path=xl/calcChain.xml><?xml version="1.0" encoding="utf-8"?>
<calcChain xmlns="http://schemas.openxmlformats.org/spreadsheetml/2006/main">
  <c r="J69" i="1"/>
  <c r="H54" l="1"/>
  <c r="F74" l="1"/>
  <c r="E74"/>
  <c r="H47"/>
  <c r="H46"/>
  <c r="H44"/>
  <c r="H43"/>
  <c r="H42"/>
  <c r="K86" l="1"/>
  <c r="K84"/>
  <c r="K55" l="1"/>
  <c r="K52"/>
  <c r="K50"/>
  <c r="K51"/>
  <c r="K49"/>
  <c r="B31" l="1"/>
  <c r="I30"/>
  <c r="I90" l="1"/>
  <c r="I89"/>
  <c r="I88"/>
  <c r="I87"/>
  <c r="I86"/>
  <c r="L86" s="1"/>
  <c r="I85"/>
  <c r="L85" s="1"/>
  <c r="I84"/>
  <c r="I83"/>
  <c r="I82"/>
  <c r="L82" s="1"/>
  <c r="I81"/>
  <c r="L81" s="1"/>
  <c r="I80"/>
  <c r="L80" s="1"/>
  <c r="I79"/>
  <c r="L79" s="1"/>
  <c r="I78"/>
  <c r="L78" s="1"/>
  <c r="I77"/>
  <c r="L77" s="1"/>
  <c r="I76"/>
  <c r="L76" s="1"/>
  <c r="I75"/>
  <c r="L75" s="1"/>
  <c r="I74"/>
  <c r="L74" s="1"/>
  <c r="I73"/>
  <c r="L73" s="1"/>
  <c r="I72"/>
  <c r="L72" s="1"/>
  <c r="I71"/>
  <c r="L71" s="1"/>
  <c r="I57"/>
  <c r="L57" s="1"/>
  <c r="I34"/>
  <c r="I33"/>
  <c r="I32"/>
  <c r="L32" s="1"/>
  <c r="I28"/>
  <c r="I29"/>
  <c r="I13"/>
  <c r="I7"/>
  <c r="L34" l="1"/>
  <c r="L33"/>
  <c r="I31" l="1"/>
  <c r="L31" s="1"/>
  <c r="I35" l="1"/>
  <c r="L35" s="1"/>
  <c r="L89"/>
  <c r="I27" l="1"/>
  <c r="L30" l="1"/>
  <c r="L29"/>
  <c r="L28"/>
  <c r="L27"/>
  <c r="L88"/>
  <c r="L87"/>
  <c r="L84"/>
  <c r="L83"/>
  <c r="L13"/>
  <c r="I5" l="1"/>
  <c r="I26" l="1"/>
  <c r="L26" s="1"/>
  <c r="I25"/>
  <c r="L25" s="1"/>
  <c r="I24"/>
  <c r="L24" s="1"/>
  <c r="I23"/>
  <c r="L23" s="1"/>
  <c r="I22"/>
  <c r="L22" s="1"/>
  <c r="B23" l="1"/>
  <c r="L90" l="1"/>
  <c r="K7" l="1"/>
  <c r="L7" s="1"/>
  <c r="K5"/>
  <c r="L5" s="1"/>
  <c r="I40"/>
  <c r="I39"/>
  <c r="I38"/>
  <c r="I37"/>
  <c r="H6"/>
  <c r="I6" s="1"/>
  <c r="L6" s="1"/>
  <c r="I61"/>
  <c r="L61" s="1"/>
  <c r="I70"/>
  <c r="L70" s="1"/>
  <c r="I69"/>
  <c r="L69" s="1"/>
  <c r="I68"/>
  <c r="L68" s="1"/>
  <c r="I67"/>
  <c r="L67" s="1"/>
  <c r="I66"/>
  <c r="L66" s="1"/>
  <c r="I65"/>
  <c r="L65" s="1"/>
  <c r="I64"/>
  <c r="L64" s="1"/>
  <c r="I63"/>
  <c r="L63" s="1"/>
  <c r="I62"/>
  <c r="L62" s="1"/>
  <c r="B7" l="1"/>
  <c r="B8"/>
  <c r="B9"/>
  <c r="B10"/>
  <c r="B11"/>
  <c r="B12"/>
  <c r="B13"/>
  <c r="B14"/>
  <c r="B15"/>
  <c r="B16"/>
  <c r="B17"/>
  <c r="B18"/>
  <c r="B19"/>
  <c r="B20"/>
  <c r="B21"/>
  <c r="B22"/>
  <c r="B24"/>
  <c r="B25"/>
  <c r="B26"/>
  <c r="B27"/>
  <c r="B28"/>
  <c r="B29"/>
  <c r="B30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K12"/>
  <c r="I12"/>
  <c r="K11"/>
  <c r="J11" s="1"/>
  <c r="E11"/>
  <c r="I11" s="1"/>
  <c r="K10"/>
  <c r="I10"/>
  <c r="K9"/>
  <c r="I9"/>
  <c r="J8"/>
  <c r="E8"/>
  <c r="I8" s="1"/>
  <c r="L8" l="1"/>
  <c r="L9"/>
  <c r="L10"/>
  <c r="L11"/>
  <c r="L12"/>
  <c r="I47"/>
  <c r="L47" s="1"/>
  <c r="I46"/>
  <c r="L46" s="1"/>
  <c r="I45"/>
  <c r="L45" s="1"/>
  <c r="I44"/>
  <c r="L44" s="1"/>
  <c r="I43"/>
  <c r="L43" s="1"/>
  <c r="I42"/>
  <c r="L42" s="1"/>
  <c r="I41"/>
  <c r="L41" s="1"/>
  <c r="G36" l="1"/>
  <c r="I36" s="1"/>
  <c r="L36" s="1"/>
  <c r="H58" l="1"/>
  <c r="G58"/>
  <c r="D58"/>
  <c r="I58" s="1"/>
  <c r="L58" s="1"/>
  <c r="H60"/>
  <c r="G60"/>
  <c r="F60"/>
  <c r="I60" l="1"/>
  <c r="L60" s="1"/>
  <c r="H59"/>
  <c r="G59"/>
  <c r="F59"/>
  <c r="I59" l="1"/>
  <c r="L59" s="1"/>
  <c r="H56"/>
  <c r="G56"/>
  <c r="F56"/>
  <c r="I56" l="1"/>
  <c r="L56" s="1"/>
  <c r="I55"/>
  <c r="K54"/>
  <c r="I54"/>
  <c r="K53"/>
  <c r="I53"/>
  <c r="I52"/>
  <c r="L52" s="1"/>
  <c r="I51"/>
  <c r="I50"/>
  <c r="I49"/>
  <c r="K48"/>
  <c r="J48"/>
  <c r="I48"/>
  <c r="L49" l="1"/>
  <c r="L50"/>
  <c r="L51"/>
  <c r="L48"/>
  <c r="L53"/>
  <c r="L54"/>
  <c r="L55"/>
  <c r="I21"/>
  <c r="L21" s="1"/>
  <c r="I20"/>
  <c r="L20" s="1"/>
  <c r="I19"/>
  <c r="L19" s="1"/>
  <c r="I18"/>
  <c r="L18" s="1"/>
  <c r="I17"/>
  <c r="L17" s="1"/>
  <c r="I16"/>
  <c r="L16" s="1"/>
  <c r="I15"/>
  <c r="L15" s="1"/>
  <c r="I14"/>
  <c r="L14" s="1"/>
  <c r="B6" l="1"/>
  <c r="B5"/>
  <c r="K40" l="1"/>
  <c r="L40" s="1"/>
  <c r="K39"/>
  <c r="L39" s="1"/>
  <c r="K38"/>
  <c r="L38" s="1"/>
  <c r="K37"/>
  <c r="L37" s="1"/>
</calcChain>
</file>

<file path=xl/sharedStrings.xml><?xml version="1.0" encoding="utf-8"?>
<sst xmlns="http://schemas.openxmlformats.org/spreadsheetml/2006/main" count="214" uniqueCount="158">
  <si>
    <t>Học viện Chính sách và Phát triển</t>
  </si>
  <si>
    <t>Phòng Quản lý Khoa học và hợp tác</t>
  </si>
  <si>
    <t>Đơn vị</t>
  </si>
  <si>
    <t>TT</t>
  </si>
  <si>
    <t>Họ và tên</t>
  </si>
  <si>
    <t>Giờ Đề tài</t>
  </si>
  <si>
    <t>Giờ bài báo</t>
  </si>
  <si>
    <t>Giờ bài hội thảo</t>
  </si>
  <si>
    <t>Giờ Giáo trình-Tài liệu</t>
  </si>
  <si>
    <t>Giờ NC khác</t>
  </si>
  <si>
    <t>Tổng thực hiện 2022-2023</t>
  </si>
  <si>
    <t>Giờ được chuyển sang</t>
  </si>
  <si>
    <t>Giờ định mức NCKH*</t>
  </si>
  <si>
    <t>Chênh lệch</t>
  </si>
  <si>
    <t>Ghi chú</t>
  </si>
  <si>
    <t>Ban 
Giám đốc</t>
  </si>
  <si>
    <t>GĐ - Trần Trọng Nguyên</t>
  </si>
  <si>
    <t>PGS-GVCC,GĐ</t>
  </si>
  <si>
    <t>PGĐ - Nguyễn Thế Vinh</t>
  </si>
  <si>
    <t>GVC, PGĐ</t>
  </si>
  <si>
    <t>PGĐ - Nguyễn Thế Hùng</t>
  </si>
  <si>
    <t>Khoa 
Kinh tế 
Phát triển</t>
  </si>
  <si>
    <t>Hoàng Kim Thu</t>
  </si>
  <si>
    <t>CVHT</t>
  </si>
  <si>
    <t>Tô Trọng Hùng</t>
  </si>
  <si>
    <t>Phan Lê Nga</t>
  </si>
  <si>
    <t>Khoa Cơ bản</t>
  </si>
  <si>
    <t>Nguyễn Tiến Hùng</t>
  </si>
  <si>
    <t>GVC -Tr.P,Tr.K</t>
  </si>
  <si>
    <t>GVC-P.Tr.BM</t>
  </si>
  <si>
    <t>Đào Văn Mừng</t>
  </si>
  <si>
    <t>GVC</t>
  </si>
  <si>
    <t>Vũ Thị Thái Hà</t>
  </si>
  <si>
    <t>Nguyễn Thị Thanh Nga</t>
  </si>
  <si>
    <t>Vũ Thị Minh Tâm</t>
  </si>
  <si>
    <t>GV</t>
  </si>
  <si>
    <t>Đỗ Thị Hoa</t>
  </si>
  <si>
    <t>GV-P.Tr.BM</t>
  </si>
  <si>
    <t>Nguyễn Thị Hồng Mến</t>
  </si>
  <si>
    <t>Phạm Thị Diệu Linh</t>
  </si>
  <si>
    <t>Đỗ Thị Thanh Hà</t>
  </si>
  <si>
    <t>Phạm Thị Hà</t>
  </si>
  <si>
    <t>Cao Thu Hằng</t>
  </si>
  <si>
    <t>Nguyễn Thị Thùy Dương</t>
  </si>
  <si>
    <t>Tống Hưng Tâm</t>
  </si>
  <si>
    <t>Nguyễn Mã Lương</t>
  </si>
  <si>
    <t>GV-Tr.BM, GĐTT</t>
  </si>
  <si>
    <t>Lê Văn Tuấn</t>
  </si>
  <si>
    <t xml:space="preserve">GV </t>
  </si>
  <si>
    <t>Ngô Hữu Mạnh</t>
  </si>
  <si>
    <t>Đặng Thị Phấn</t>
  </si>
  <si>
    <t>Ngô Phúc Hạnh</t>
  </si>
  <si>
    <t>Nguyễn Nam Hải</t>
  </si>
  <si>
    <t>Nguyễn Thị Thu</t>
  </si>
  <si>
    <t>Khoa Luật kinh tế</t>
  </si>
  <si>
    <t>Nguyễn Như Hà</t>
  </si>
  <si>
    <t xml:space="preserve">Tr.K </t>
  </si>
  <si>
    <t>Lưu Thị Tuyết</t>
  </si>
  <si>
    <t>Nguyễn Tiến Đạt</t>
  </si>
  <si>
    <t>Đặng Minh Phương</t>
  </si>
  <si>
    <t>Khoa Kinh tế quốc tế</t>
  </si>
  <si>
    <t>Tr.K</t>
  </si>
  <si>
    <t>Phan Thị Thanh Huyền</t>
  </si>
  <si>
    <t>Nguyễn Thị Thùy Linh</t>
  </si>
  <si>
    <t xml:space="preserve">Khoa Quản trị kinh doanh </t>
  </si>
  <si>
    <t>Lâm Thùy Dương</t>
  </si>
  <si>
    <t>Đàm Thị Hiền</t>
  </si>
  <si>
    <t>Viện Đào tạo Quốc tế</t>
  </si>
  <si>
    <t>Đào Hoàng Tuấn</t>
  </si>
  <si>
    <t>Phạm Ngọc Trụ</t>
  </si>
  <si>
    <t>Nguyễn Thị Bích Ngọc</t>
  </si>
  <si>
    <t>Nguyễn Trần Khánh</t>
  </si>
  <si>
    <t>Lưu Minh Đức</t>
  </si>
  <si>
    <t>Phạm Mỹ Hằng Phương</t>
  </si>
  <si>
    <t>Đào Văn Hùng</t>
  </si>
  <si>
    <t>PGS</t>
  </si>
  <si>
    <t>Vũ Thị Nhài</t>
  </si>
  <si>
    <t>GVC-CVHT</t>
  </si>
  <si>
    <t>Đỗ Thanh Hương</t>
  </si>
  <si>
    <t>Đặng Thùy Nhung</t>
  </si>
  <si>
    <t>Trần Hoàng Minh</t>
  </si>
  <si>
    <t>Khoa Kinh tế</t>
  </si>
  <si>
    <t>Trần Thị Trúc</t>
  </si>
  <si>
    <t>Lê Thị Nhung</t>
  </si>
  <si>
    <t>Nguyễn Duy Đồng</t>
  </si>
  <si>
    <t>Trần Thị Ninh</t>
  </si>
  <si>
    <t>Nguyễn Việt Hưng</t>
  </si>
  <si>
    <t>Nguyễn Trần Phương</t>
  </si>
  <si>
    <t>Khoa Kế toán - Kiểm toán</t>
  </si>
  <si>
    <t>Mai Thị Hoa</t>
  </si>
  <si>
    <t>Hoàng Thanh Hạnh</t>
  </si>
  <si>
    <t>Nguyễn Thị Phương Thanh</t>
  </si>
  <si>
    <t>Khoa Kinh tế số</t>
  </si>
  <si>
    <t>Đỗ Thế Dương</t>
  </si>
  <si>
    <t>Nguyễn Hữu Xuân Trường</t>
  </si>
  <si>
    <t>Khối 
phòng ban</t>
  </si>
  <si>
    <t xml:space="preserve">Nguyễn Thị Đông </t>
  </si>
  <si>
    <t>Ngô Xuân Khoa</t>
  </si>
  <si>
    <t>*Các giảng viên 2 năm liền không hoàn thành ĐM giờ NCKH (NG.V.A-Chữ in đậm)</t>
  </si>
  <si>
    <t>**Các cán bộ, giảng viên không thực hiện đủ định mức giờ nghiên cứu khoa học được in đậm, nghiêng, đánh dấu đỏ</t>
  </si>
  <si>
    <t>***Giờ định mức NCKH của Giảng viên = 587 giờ, của Giảng viên chính và PGS = 687 giờ, của Giảng viên cao cấp và GS = 787 giờ;</t>
  </si>
  <si>
    <t>******* Chú thích: Tr.K=Trưởng Khoa;P.Tr.K=Phó Trưởng Khoa;Tr.BM=Trưởng Bộ môn;P.Tr.BM=Phó Trưởng Bộ môn; Tr.P=Trưởng Phòng;P.Tr.P=Phó Trưởng Phòng;</t>
  </si>
  <si>
    <t>GĐTT=Giám đốc Trung tâm;V.trưởng=Viện Trưởng;V.Phó=Viện Phó;CVHT=Cố vấn học tập;TS=Thai sản; TV=Thử việc; NCN=Nuôi con nhỏ</t>
  </si>
  <si>
    <t>TTCĐK= Tổ trưởng công đoàn Khoa;T.Tra=TBTTND;TBNC=Trưởng ban Nữ công;GV=Giảng viên;GVC=Giảng viên chính; GVCC= Giảng viên cao cấp</t>
  </si>
  <si>
    <t>Nguyễn Duy Tùng</t>
  </si>
  <si>
    <t>Nguyễn Hoàng Diệu Linh</t>
  </si>
  <si>
    <t>Bùi Thị Hoàng Mai</t>
  </si>
  <si>
    <t>Đỗ Thị Hà Anh</t>
  </si>
  <si>
    <t>Bùi Thanh Bình</t>
  </si>
  <si>
    <t>Nguyễn Thanh Bình</t>
  </si>
  <si>
    <t>Trần Thị Huyền Trang</t>
  </si>
  <si>
    <t>Bùi Thúy Vân</t>
  </si>
  <si>
    <t>Trịnh Tùng</t>
  </si>
  <si>
    <t>Nguyễn Thị Dung</t>
  </si>
  <si>
    <t>Tr.P QLĐT</t>
  </si>
  <si>
    <t>Tr.P KT&amp;ĐBCL</t>
  </si>
  <si>
    <t>Vũ Thị Minh Luận</t>
  </si>
  <si>
    <t>Nguyễn Thị Phương Anh</t>
  </si>
  <si>
    <t>Phùng Đình Vịnh</t>
  </si>
  <si>
    <t>Nguyễn Tuấn Tài</t>
  </si>
  <si>
    <t>Lưu Hữu Văn</t>
  </si>
  <si>
    <t>GV-CVHT</t>
  </si>
  <si>
    <t>P.Tr.K</t>
  </si>
  <si>
    <t>Ngô Tiến Dũng</t>
  </si>
  <si>
    <t>P.Tr.K phụ trách</t>
  </si>
  <si>
    <t>Bảng tổng hợp giờ NCKH của Giảng viên năm học 2022 - 2023</t>
  </si>
  <si>
    <t>Khoa 
Tài Chính - Ngân hàng</t>
  </si>
  <si>
    <t>Viện Chính sách công</t>
  </si>
  <si>
    <t>Viện trưởng</t>
  </si>
  <si>
    <t xml:space="preserve">Nguyễn Thạc Hoát </t>
  </si>
  <si>
    <t xml:space="preserve">Đào Thị Bích Hạnh </t>
  </si>
  <si>
    <t xml:space="preserve">CVHT </t>
  </si>
  <si>
    <t>PTrK</t>
  </si>
  <si>
    <t>Phụ trách TT TT, TVTT</t>
  </si>
  <si>
    <t xml:space="preserve">Ngô Minh Thuận </t>
  </si>
  <si>
    <t>GVC-P.Tr.BM, Nghỉ thai sản</t>
  </si>
  <si>
    <t>Lê Xuân Đoàn</t>
  </si>
  <si>
    <t>Ngày     Tháng      năm 2023</t>
  </si>
  <si>
    <t>GV - Nghỉ thai sản</t>
  </si>
  <si>
    <t xml:space="preserve">GVC-TrK </t>
  </si>
  <si>
    <t>CVHT từ tháng 2/2022</t>
  </si>
  <si>
    <t>*****Số giờ nghiên cứu khoa học còn thừa của năm học 2022-2023 chỉ được tính cho năm học 2023-2024</t>
  </si>
  <si>
    <t>****GV được  chuyển số giờ vượt ĐM của năm trước sang năm nay. Số giờ chuyển không quá 50% ĐM phải thực hiện trong năm 2023-2024</t>
  </si>
  <si>
    <t>PHỤ TRÁCH PHÒNG QUẢN LÝ KHOA HỌC VÀ HỢP TÁC</t>
  </si>
  <si>
    <t>CVHT từ tháng 10/2022</t>
  </si>
  <si>
    <t>GVC-Tr. K</t>
  </si>
  <si>
    <t>GVC-P.Tr.K</t>
  </si>
  <si>
    <t>PHẠM THỊ QUỲNH LIÊN</t>
  </si>
  <si>
    <t>PHẠM HUYỀN TRANG</t>
  </si>
  <si>
    <t>Đoàn Anh Tuấn</t>
  </si>
  <si>
    <t>NGUYỄN VĂN TUẤN</t>
  </si>
  <si>
    <t>TRẦN THỊ HƯƠNG TRÀ</t>
  </si>
  <si>
    <t>ĐỖ KIẾN VỌNG</t>
  </si>
  <si>
    <t>PHẠM HOÀNG CƯỜNG</t>
  </si>
  <si>
    <t>ĐÀM THANH TÚ</t>
  </si>
  <si>
    <t>2 năm liên tiếp không hoàn thành nhiệm vụ</t>
  </si>
  <si>
    <t>Vũ Thị Tâm</t>
  </si>
  <si>
    <t>******** Các trường hợp không có bài báo hoặc không đủ tiêu chí theo thông tư 20 hoặc QĐ 766/QĐ-HVCSPT ( Viết hoa và In nghiêng màu xanh)</t>
  </si>
</sst>
</file>

<file path=xl/styles.xml><?xml version="1.0" encoding="utf-8"?>
<styleSheet xmlns="http://schemas.openxmlformats.org/spreadsheetml/2006/main">
  <numFmts count="6">
    <numFmt numFmtId="41" formatCode="_-* #,##0\ _₫_-;\-* #,##0\ _₫_-;_-* &quot;-&quot;\ _₫_-;_-@_-"/>
    <numFmt numFmtId="43" formatCode="_-* #,##0.00\ _₫_-;\-* #,##0.00\ _₫_-;_-* &quot;-&quot;??\ _₫_-;_-@_-"/>
    <numFmt numFmtId="164" formatCode="_(* #,##0_);_(* \(#,##0\);_(* &quot;-&quot;??_);_(@_)"/>
    <numFmt numFmtId="165" formatCode="#,##0.0"/>
    <numFmt numFmtId="166" formatCode="_-* #,##0_-;\-* #,##0_-;_-* &quot;-&quot;??_-;_-@_-"/>
    <numFmt numFmtId="167" formatCode="0.0"/>
  </numFmts>
  <fonts count="25">
    <font>
      <sz val="11"/>
      <color theme="1"/>
      <name val="Calibri"/>
      <family val="2"/>
      <charset val="163"/>
      <scheme val="minor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3"/>
      <color indexed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  <charset val="163"/>
      <scheme val="minor"/>
    </font>
    <font>
      <sz val="11"/>
      <name val="Calibri"/>
      <family val="2"/>
    </font>
    <font>
      <i/>
      <sz val="11"/>
      <color theme="3" tint="0.39997558519241921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rgb="FFFF0000"/>
      <name val="Calibri"/>
      <family val="2"/>
      <charset val="163"/>
      <scheme val="minor"/>
    </font>
    <font>
      <i/>
      <sz val="11"/>
      <name val="Times New Roman"/>
      <family val="1"/>
    </font>
    <font>
      <i/>
      <sz val="11"/>
      <name val="Calibri"/>
      <family val="2"/>
      <charset val="163"/>
      <scheme val="minor"/>
    </font>
    <font>
      <b/>
      <i/>
      <sz val="11"/>
      <color theme="3" tint="0.3999755851924192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7" fillId="0" borderId="1" xfId="0" applyFont="1" applyFill="1" applyBorder="1" applyAlignment="1">
      <alignment horizontal="center" vertical="center"/>
    </xf>
    <xf numFmtId="41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0" xfId="0" applyFont="1" applyFill="1"/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/>
    <xf numFmtId="0" fontId="2" fillId="0" borderId="1" xfId="0" applyFont="1" applyBorder="1" applyAlignment="1">
      <alignment vertical="center"/>
    </xf>
    <xf numFmtId="0" fontId="10" fillId="0" borderId="0" xfId="0" applyFont="1" applyFill="1" applyAlignment="1"/>
    <xf numFmtId="0" fontId="4" fillId="0" borderId="0" xfId="0" applyFont="1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/>
    <xf numFmtId="0" fontId="9" fillId="0" borderId="0" xfId="0" applyFont="1" applyFill="1" applyAlignment="1">
      <alignment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/>
    <xf numFmtId="0" fontId="2" fillId="0" borderId="8" xfId="0" applyFont="1" applyBorder="1" applyAlignment="1">
      <alignment horizontal="center" vertical="center"/>
    </xf>
    <xf numFmtId="0" fontId="0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1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0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28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41" fontId="7" fillId="0" borderId="2" xfId="0" applyNumberFormat="1" applyFont="1" applyFill="1" applyBorder="1" applyAlignment="1">
      <alignment horizontal="center" vertical="center"/>
    </xf>
    <xf numFmtId="41" fontId="7" fillId="0" borderId="15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6" fillId="0" borderId="0" xfId="0" applyFont="1" applyFill="1"/>
    <xf numFmtId="41" fontId="2" fillId="0" borderId="3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15" xfId="1" applyNumberFormat="1" applyFon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7" fillId="2" borderId="15" xfId="0" applyNumberFormat="1" applyFont="1" applyFill="1" applyBorder="1" applyAlignment="1">
      <alignment horizontal="center" vertical="center"/>
    </xf>
    <xf numFmtId="1" fontId="7" fillId="2" borderId="2" xfId="1" applyNumberFormat="1" applyFont="1" applyFill="1" applyBorder="1" applyAlignment="1">
      <alignment horizontal="center" vertical="center"/>
    </xf>
    <xf numFmtId="1" fontId="7" fillId="2" borderId="10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1" fontId="16" fillId="2" borderId="0" xfId="0" applyNumberFormat="1" applyFont="1" applyFill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1" fontId="2" fillId="0" borderId="15" xfId="0" applyNumberFormat="1" applyFont="1" applyFill="1" applyBorder="1" applyAlignment="1">
      <alignment horizontal="center" vertical="center"/>
    </xf>
    <xf numFmtId="166" fontId="2" fillId="0" borderId="13" xfId="1" applyNumberFormat="1" applyFont="1" applyBorder="1" applyAlignment="1">
      <alignment horizontal="left" vertical="center" wrapText="1"/>
    </xf>
    <xf numFmtId="166" fontId="2" fillId="0" borderId="16" xfId="1" applyNumberFormat="1" applyFont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vertical="center"/>
    </xf>
    <xf numFmtId="1" fontId="2" fillId="0" borderId="15" xfId="0" applyNumberFormat="1" applyFont="1" applyFill="1" applyBorder="1" applyAlignment="1">
      <alignment vertical="center"/>
    </xf>
    <xf numFmtId="1" fontId="2" fillId="0" borderId="10" xfId="0" applyNumberFormat="1" applyFont="1" applyFill="1" applyBorder="1" applyAlignment="1">
      <alignment vertical="center"/>
    </xf>
    <xf numFmtId="1" fontId="7" fillId="2" borderId="15" xfId="1" applyNumberFormat="1" applyFont="1" applyFill="1" applyBorder="1" applyAlignment="1">
      <alignment horizontal="center" vertical="center"/>
    </xf>
    <xf numFmtId="1" fontId="7" fillId="0" borderId="10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7" fillId="0" borderId="15" xfId="1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left" vertical="center"/>
    </xf>
    <xf numFmtId="1" fontId="2" fillId="0" borderId="5" xfId="0" applyNumberFormat="1" applyFont="1" applyBorder="1" applyAlignment="1">
      <alignment horizontal="left" vertical="center"/>
    </xf>
    <xf numFmtId="1" fontId="7" fillId="0" borderId="29" xfId="0" applyNumberFormat="1" applyFont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7" fillId="0" borderId="28" xfId="0" applyNumberFormat="1" applyFont="1" applyBorder="1" applyAlignment="1">
      <alignment horizontal="left" vertical="center"/>
    </xf>
    <xf numFmtId="1" fontId="2" fillId="0" borderId="18" xfId="0" applyNumberFormat="1" applyFont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41" fontId="7" fillId="0" borderId="18" xfId="0" applyNumberFormat="1" applyFont="1" applyFill="1" applyBorder="1" applyAlignment="1">
      <alignment horizontal="left" vertical="center" wrapText="1"/>
    </xf>
    <xf numFmtId="41" fontId="7" fillId="0" borderId="13" xfId="0" applyNumberFormat="1" applyFont="1" applyFill="1" applyBorder="1" applyAlignment="1">
      <alignment horizontal="left" vertical="center" wrapText="1"/>
    </xf>
    <xf numFmtId="41" fontId="7" fillId="0" borderId="16" xfId="0" applyNumberFormat="1" applyFont="1" applyFill="1" applyBorder="1" applyAlignment="1">
      <alignment horizontal="left" vertical="center" wrapText="1"/>
    </xf>
    <xf numFmtId="41" fontId="2" fillId="0" borderId="13" xfId="0" applyNumberFormat="1" applyFont="1" applyFill="1" applyBorder="1" applyAlignment="1">
      <alignment horizontal="left" vertical="center" wrapText="1"/>
    </xf>
    <xf numFmtId="41" fontId="2" fillId="0" borderId="25" xfId="0" applyNumberFormat="1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wrapText="1"/>
    </xf>
    <xf numFmtId="41" fontId="7" fillId="0" borderId="32" xfId="0" applyNumberFormat="1" applyFont="1" applyFill="1" applyBorder="1" applyAlignment="1">
      <alignment horizontal="left" vertical="center" wrapText="1"/>
    </xf>
    <xf numFmtId="41" fontId="2" fillId="0" borderId="18" xfId="0" applyNumberFormat="1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" fontId="2" fillId="0" borderId="13" xfId="0" applyNumberFormat="1" applyFont="1" applyBorder="1" applyAlignment="1">
      <alignment horizontal="left" vertical="center" wrapText="1"/>
    </xf>
    <xf numFmtId="1" fontId="2" fillId="0" borderId="16" xfId="0" applyNumberFormat="1" applyFont="1" applyBorder="1" applyAlignment="1">
      <alignment horizontal="left" vertical="center" wrapText="1"/>
    </xf>
    <xf numFmtId="41" fontId="2" fillId="0" borderId="16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41" fontId="7" fillId="0" borderId="25" xfId="0" applyNumberFormat="1" applyFont="1" applyFill="1" applyBorder="1" applyAlignment="1">
      <alignment horizontal="left" vertical="center" wrapText="1"/>
    </xf>
    <xf numFmtId="41" fontId="7" fillId="0" borderId="31" xfId="0" applyNumberFormat="1" applyFont="1" applyFill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" fontId="2" fillId="0" borderId="21" xfId="0" applyNumberFormat="1" applyFont="1" applyBorder="1" applyAlignment="1">
      <alignment horizontal="center" vertical="center"/>
    </xf>
    <xf numFmtId="1" fontId="7" fillId="2" borderId="21" xfId="0" applyNumberFormat="1" applyFont="1" applyFill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7" fillId="2" borderId="22" xfId="0" applyNumberFormat="1" applyFont="1" applyFill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167" fontId="7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28" xfId="0" applyFont="1" applyFill="1" applyBorder="1" applyAlignment="1">
      <alignment horizontal="left" vertical="center"/>
    </xf>
    <xf numFmtId="1" fontId="7" fillId="0" borderId="10" xfId="1" applyNumberFormat="1" applyFont="1" applyFill="1" applyBorder="1" applyAlignment="1">
      <alignment horizontal="center" vertical="center"/>
    </xf>
    <xf numFmtId="0" fontId="2" fillId="0" borderId="34" xfId="0" applyFont="1" applyBorder="1"/>
    <xf numFmtId="0" fontId="2" fillId="0" borderId="34" xfId="0" applyFont="1" applyBorder="1" applyAlignment="1">
      <alignment horizontal="center" vertical="center"/>
    </xf>
    <xf numFmtId="1" fontId="7" fillId="2" borderId="34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left" wrapText="1"/>
    </xf>
    <xf numFmtId="0" fontId="7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center" vertical="center"/>
    </xf>
    <xf numFmtId="1" fontId="7" fillId="2" borderId="38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wrapText="1"/>
    </xf>
    <xf numFmtId="3" fontId="7" fillId="0" borderId="2" xfId="1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1" fontId="7" fillId="0" borderId="2" xfId="1" applyNumberFormat="1" applyFont="1" applyBorder="1" applyAlignment="1">
      <alignment horizontal="center" vertical="center"/>
    </xf>
    <xf numFmtId="0" fontId="18" fillId="0" borderId="8" xfId="0" applyFont="1" applyBorder="1"/>
    <xf numFmtId="3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1" fontId="19" fillId="0" borderId="1" xfId="1" applyNumberFormat="1" applyFont="1" applyBorder="1" applyAlignment="1">
      <alignment horizontal="center" vertical="center"/>
    </xf>
    <xf numFmtId="1" fontId="19" fillId="2" borderId="1" xfId="1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20" fillId="0" borderId="0" xfId="0" applyFont="1" applyFill="1"/>
    <xf numFmtId="0" fontId="18" fillId="0" borderId="5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2" fillId="0" borderId="0" xfId="0" applyFont="1" applyFill="1"/>
    <xf numFmtId="0" fontId="18" fillId="0" borderId="29" xfId="0" applyFont="1" applyFill="1" applyBorder="1" applyAlignment="1">
      <alignment vertical="center"/>
    </xf>
    <xf numFmtId="1" fontId="19" fillId="4" borderId="1" xfId="1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 wrapText="1"/>
    </xf>
    <xf numFmtId="0" fontId="2" fillId="0" borderId="41" xfId="0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" fontId="2" fillId="0" borderId="33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18" fillId="0" borderId="28" xfId="0" applyFont="1" applyFill="1" applyBorder="1" applyAlignment="1">
      <alignment vertical="center"/>
    </xf>
    <xf numFmtId="0" fontId="0" fillId="0" borderId="42" xfId="0" applyBorder="1" applyAlignment="1">
      <alignment horizontal="center"/>
    </xf>
    <xf numFmtId="0" fontId="2" fillId="0" borderId="0" xfId="0" applyFont="1" applyAlignment="1">
      <alignment horizontal="center"/>
    </xf>
    <xf numFmtId="0" fontId="23" fillId="0" borderId="1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7" fontId="7" fillId="2" borderId="10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0" fontId="24" fillId="0" borderId="0" xfId="0" applyFont="1" applyFill="1"/>
    <xf numFmtId="0" fontId="7" fillId="0" borderId="5" xfId="0" applyFont="1" applyBorder="1" applyAlignment="1">
      <alignment wrapText="1"/>
    </xf>
    <xf numFmtId="0" fontId="2" fillId="0" borderId="10" xfId="0" applyFont="1" applyBorder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 applyProtection="1">
      <protection locked="0"/>
    </xf>
    <xf numFmtId="0" fontId="5" fillId="0" borderId="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24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g%20tong%20hop%20gio%20NCKH_2022_2023_A%20Vi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Khoa%20KTPT_Bang%20tong%20hop%20gio%20NCKH%2022_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SC/CSC.%20A%20Binh%20Thong%20hop%20gio%20NCKH%202022%20-%202023.%20%20-%20Copy%20-%20Copy%20-%20Cop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Vien%20dtqt/Bang%20tong%20hop%20gio%20NCKH%2022%2023%20PGS%20TS%20Dao%20Hoang%20Tua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Vien%20dtqt/Bang%20tong%20hop%20gio%20NCKH%2022%2023%20ThS%20Nguyen%20Thi%20Bich%20Ngo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Vien%20dtqt/NGUYEN%20TRAN%20KHANH%20NCKH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Vien%20dtqt/Bang%20tong%20hop%20gio%20NCKH%2022%2023%20_%20TS.%20L&#432;u%20Minh%20&#272;&#7913;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"/>
      <sheetName val="Bao"/>
      <sheetName val="Hội thảo"/>
      <sheetName val="GT-Tailieu"/>
      <sheetName val="Tổng hợp"/>
      <sheetName val="NC khac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tai"/>
      <sheetName val="Bao"/>
      <sheetName val="Hội thảo"/>
      <sheetName val="GT-Tailieu"/>
      <sheetName val="NC khac"/>
      <sheetName val="Tổng hợp"/>
    </sheetNames>
    <sheetDataSet>
      <sheetData sheetId="0"/>
      <sheetData sheetId="1">
        <row r="11">
          <cell r="K11">
            <v>350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tai"/>
      <sheetName val="Bao"/>
      <sheetName val="Hội thảo"/>
      <sheetName val="GT-Tailieu"/>
      <sheetName val="NC khac"/>
      <sheetName val="Tổng hợp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tai"/>
      <sheetName val="Bao"/>
      <sheetName val="Hội thảo"/>
      <sheetName val="GT-Tailieu"/>
      <sheetName val="NC khac"/>
      <sheetName val="Tổng hợp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tai"/>
      <sheetName val="Bao"/>
      <sheetName val="Hội thảo"/>
      <sheetName val="GT-Tailieu"/>
      <sheetName val="NC khac"/>
      <sheetName val="Tổng hợp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tai"/>
      <sheetName val="Bao"/>
      <sheetName val="Hội thảo"/>
      <sheetName val="GT-Tailieu"/>
      <sheetName val="NC khac"/>
      <sheetName val="Tổng hợp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Detai"/>
      <sheetName val="Bao"/>
      <sheetName val="Hội thảo"/>
      <sheetName val="GT-Tailieu"/>
      <sheetName val="NC khac"/>
      <sheetName val="Tổng hợp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6"/>
  <sheetViews>
    <sheetView tabSelected="1" topLeftCell="A89" workbookViewId="0">
      <selection activeCell="A107" sqref="A107"/>
    </sheetView>
  </sheetViews>
  <sheetFormatPr defaultRowHeight="15"/>
  <cols>
    <col min="1" max="2" width="9.140625" style="21"/>
    <col min="3" max="3" width="24.7109375" style="21" customWidth="1"/>
    <col min="4" max="8" width="9.140625" style="7"/>
    <col min="9" max="9" width="9.140625" style="103"/>
    <col min="10" max="11" width="9.140625" style="7"/>
    <col min="12" max="12" width="9.140625" style="27"/>
    <col min="13" max="13" width="15.85546875" style="150" customWidth="1"/>
    <col min="14" max="14" width="12.85546875" style="8" bestFit="1" customWidth="1"/>
    <col min="15" max="16384" width="9.140625" style="8"/>
  </cols>
  <sheetData>
    <row r="1" spans="1:13">
      <c r="A1" s="233" t="s">
        <v>0</v>
      </c>
      <c r="B1" s="233"/>
      <c r="C1" s="233"/>
      <c r="D1" s="1"/>
      <c r="E1" s="1"/>
      <c r="F1" s="1"/>
      <c r="G1" s="1"/>
      <c r="H1" s="1"/>
      <c r="I1" s="92"/>
      <c r="J1" s="23"/>
      <c r="K1" s="1"/>
      <c r="L1" s="23"/>
      <c r="M1" s="129"/>
    </row>
    <row r="2" spans="1:13">
      <c r="A2" s="234" t="s">
        <v>1</v>
      </c>
      <c r="B2" s="234"/>
      <c r="C2" s="234"/>
      <c r="D2" s="1"/>
      <c r="E2" s="1"/>
      <c r="F2" s="1"/>
      <c r="G2" s="1"/>
      <c r="H2" s="1"/>
      <c r="I2" s="92"/>
      <c r="J2" s="23"/>
      <c r="K2" s="1"/>
      <c r="L2" s="23"/>
      <c r="M2" s="129"/>
    </row>
    <row r="3" spans="1:13" ht="20.25">
      <c r="A3" s="235" t="s">
        <v>125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</row>
    <row r="4" spans="1:13" s="16" customFormat="1" ht="72" thickBot="1">
      <c r="A4" s="37" t="s">
        <v>2</v>
      </c>
      <c r="B4" s="45" t="s">
        <v>3</v>
      </c>
      <c r="C4" s="45" t="s">
        <v>4</v>
      </c>
      <c r="D4" s="38" t="s">
        <v>5</v>
      </c>
      <c r="E4" s="38" t="s">
        <v>6</v>
      </c>
      <c r="F4" s="38" t="s">
        <v>7</v>
      </c>
      <c r="G4" s="38" t="s">
        <v>8</v>
      </c>
      <c r="H4" s="38" t="s">
        <v>9</v>
      </c>
      <c r="I4" s="93" t="s">
        <v>10</v>
      </c>
      <c r="J4" s="39" t="s">
        <v>11</v>
      </c>
      <c r="K4" s="78" t="s">
        <v>12</v>
      </c>
      <c r="L4" s="39" t="s">
        <v>13</v>
      </c>
      <c r="M4" s="37" t="s">
        <v>14</v>
      </c>
    </row>
    <row r="5" spans="1:13" ht="15" customHeight="1">
      <c r="A5" s="236" t="s">
        <v>15</v>
      </c>
      <c r="B5" s="46">
        <f>ROW()-4</f>
        <v>1</v>
      </c>
      <c r="C5" s="57" t="s">
        <v>16</v>
      </c>
      <c r="D5" s="53">
        <v>500</v>
      </c>
      <c r="E5" s="53">
        <v>150</v>
      </c>
      <c r="F5" s="53">
        <v>250</v>
      </c>
      <c r="G5" s="53">
        <v>150</v>
      </c>
      <c r="H5" s="53">
        <v>0</v>
      </c>
      <c r="I5" s="97">
        <f>SUM(D5:H5)</f>
        <v>1050</v>
      </c>
      <c r="J5" s="53">
        <v>59</v>
      </c>
      <c r="K5" s="77">
        <f>0.15*787</f>
        <v>118.05</v>
      </c>
      <c r="L5" s="54">
        <f>I5+J5-K5</f>
        <v>990.95</v>
      </c>
      <c r="M5" s="130" t="s">
        <v>17</v>
      </c>
    </row>
    <row r="6" spans="1:13">
      <c r="A6" s="237"/>
      <c r="B6" s="4">
        <f t="shared" ref="B6:B64" si="0">ROW()-4</f>
        <v>2</v>
      </c>
      <c r="C6" s="2" t="s">
        <v>18</v>
      </c>
      <c r="D6" s="33">
        <v>1400</v>
      </c>
      <c r="E6" s="14">
        <v>450</v>
      </c>
      <c r="F6" s="14">
        <v>250</v>
      </c>
      <c r="G6" s="34">
        <v>0</v>
      </c>
      <c r="H6" s="34">
        <f>'[1]NC khac'!W8</f>
        <v>0</v>
      </c>
      <c r="I6" s="94">
        <f>SUM(D6:H6)</f>
        <v>2100</v>
      </c>
      <c r="J6" s="84">
        <v>60</v>
      </c>
      <c r="K6" s="72">
        <v>137</v>
      </c>
      <c r="L6" s="215">
        <f>I6+J6-K6</f>
        <v>2023</v>
      </c>
      <c r="M6" s="131" t="s">
        <v>19</v>
      </c>
    </row>
    <row r="7" spans="1:13" ht="15.75" thickBot="1">
      <c r="A7" s="238"/>
      <c r="B7" s="47">
        <f t="shared" si="0"/>
        <v>3</v>
      </c>
      <c r="C7" s="48" t="s">
        <v>20</v>
      </c>
      <c r="D7" s="56">
        <v>0</v>
      </c>
      <c r="E7" s="56">
        <v>525</v>
      </c>
      <c r="F7" s="56">
        <v>125</v>
      </c>
      <c r="G7" s="56">
        <v>0</v>
      </c>
      <c r="H7" s="56">
        <v>0</v>
      </c>
      <c r="I7" s="95">
        <f>SUM(D7:H7)</f>
        <v>650</v>
      </c>
      <c r="J7" s="56">
        <v>68</v>
      </c>
      <c r="K7" s="73">
        <f>0.2*687</f>
        <v>137.4</v>
      </c>
      <c r="L7" s="216">
        <f>I7+J7-K7</f>
        <v>580.6</v>
      </c>
      <c r="M7" s="131" t="s">
        <v>19</v>
      </c>
    </row>
    <row r="8" spans="1:13" s="76" customFormat="1" ht="15" customHeight="1">
      <c r="A8" s="236" t="s">
        <v>21</v>
      </c>
      <c r="B8" s="57">
        <f t="shared" si="0"/>
        <v>4</v>
      </c>
      <c r="C8" s="180" t="s">
        <v>106</v>
      </c>
      <c r="D8" s="181">
        <v>500</v>
      </c>
      <c r="E8" s="181">
        <f>[2]Bao!K7</f>
        <v>0</v>
      </c>
      <c r="F8" s="181">
        <v>250</v>
      </c>
      <c r="G8" s="181">
        <v>40</v>
      </c>
      <c r="H8" s="181">
        <v>205</v>
      </c>
      <c r="I8" s="79">
        <f t="shared" ref="I8:I11" si="1">SUM(D8:H8)</f>
        <v>995</v>
      </c>
      <c r="J8" s="181">
        <f>K8/2</f>
        <v>275</v>
      </c>
      <c r="K8" s="181">
        <v>550</v>
      </c>
      <c r="L8" s="181">
        <f t="shared" ref="L8:L12" si="2">(I8+J8)-K8</f>
        <v>720</v>
      </c>
      <c r="M8" s="130" t="s">
        <v>122</v>
      </c>
    </row>
    <row r="9" spans="1:13">
      <c r="A9" s="237"/>
      <c r="B9" s="4">
        <f t="shared" si="0"/>
        <v>5</v>
      </c>
      <c r="C9" s="64" t="s">
        <v>24</v>
      </c>
      <c r="D9" s="116">
        <v>0</v>
      </c>
      <c r="E9" s="116">
        <v>525</v>
      </c>
      <c r="F9" s="116">
        <v>0</v>
      </c>
      <c r="G9" s="116">
        <v>0</v>
      </c>
      <c r="H9" s="116">
        <v>25</v>
      </c>
      <c r="I9" s="80">
        <f t="shared" si="1"/>
        <v>550</v>
      </c>
      <c r="J9" s="116">
        <v>191</v>
      </c>
      <c r="K9" s="81">
        <f>687*0.85</f>
        <v>583.94999999999993</v>
      </c>
      <c r="L9" s="81">
        <f t="shared" si="2"/>
        <v>157.05000000000007</v>
      </c>
      <c r="M9" s="131" t="s">
        <v>77</v>
      </c>
    </row>
    <row r="10" spans="1:13">
      <c r="A10" s="237"/>
      <c r="B10" s="4">
        <f t="shared" si="0"/>
        <v>6</v>
      </c>
      <c r="C10" s="64" t="s">
        <v>25</v>
      </c>
      <c r="D10" s="116">
        <v>0</v>
      </c>
      <c r="E10" s="116">
        <v>550</v>
      </c>
      <c r="F10" s="116">
        <v>0</v>
      </c>
      <c r="G10" s="116">
        <v>0</v>
      </c>
      <c r="H10" s="116">
        <v>105</v>
      </c>
      <c r="I10" s="80">
        <f t="shared" si="1"/>
        <v>655</v>
      </c>
      <c r="J10" s="116">
        <v>176</v>
      </c>
      <c r="K10" s="81">
        <f>587*0.85</f>
        <v>498.95</v>
      </c>
      <c r="L10" s="81">
        <f t="shared" si="2"/>
        <v>332.05</v>
      </c>
      <c r="M10" s="131" t="s">
        <v>121</v>
      </c>
    </row>
    <row r="11" spans="1:13">
      <c r="A11" s="237"/>
      <c r="B11" s="4">
        <f t="shared" si="0"/>
        <v>7</v>
      </c>
      <c r="C11" s="64" t="s">
        <v>22</v>
      </c>
      <c r="D11" s="116">
        <v>0</v>
      </c>
      <c r="E11" s="116">
        <f>[2]Bao!K11</f>
        <v>350</v>
      </c>
      <c r="F11" s="116">
        <v>0</v>
      </c>
      <c r="G11" s="116">
        <v>0</v>
      </c>
      <c r="H11" s="116">
        <v>190</v>
      </c>
      <c r="I11" s="80">
        <f t="shared" si="1"/>
        <v>540</v>
      </c>
      <c r="J11" s="116">
        <f>K11/2</f>
        <v>249.47499999999999</v>
      </c>
      <c r="K11" s="81">
        <f t="shared" ref="K11:K12" si="3">587*0.85</f>
        <v>498.95</v>
      </c>
      <c r="L11" s="81">
        <f t="shared" si="2"/>
        <v>290.52500000000003</v>
      </c>
      <c r="M11" s="131" t="s">
        <v>121</v>
      </c>
    </row>
    <row r="12" spans="1:13" ht="15.75" thickBot="1">
      <c r="A12" s="240"/>
      <c r="B12" s="40">
        <f t="shared" si="0"/>
        <v>8</v>
      </c>
      <c r="C12" s="153" t="s">
        <v>107</v>
      </c>
      <c r="D12" s="154">
        <v>107</v>
      </c>
      <c r="E12" s="83">
        <v>550</v>
      </c>
      <c r="F12" s="155">
        <v>0</v>
      </c>
      <c r="G12" s="156">
        <v>40</v>
      </c>
      <c r="H12" s="156">
        <v>100</v>
      </c>
      <c r="I12" s="123">
        <f>SUM(D12:H12)</f>
        <v>797</v>
      </c>
      <c r="J12" s="156">
        <v>0</v>
      </c>
      <c r="K12" s="83">
        <f t="shared" si="3"/>
        <v>498.95</v>
      </c>
      <c r="L12" s="83">
        <f t="shared" si="2"/>
        <v>298.05</v>
      </c>
      <c r="M12" s="151" t="s">
        <v>121</v>
      </c>
    </row>
    <row r="13" spans="1:13" ht="32.25" customHeight="1">
      <c r="A13" s="236" t="s">
        <v>26</v>
      </c>
      <c r="B13" s="46">
        <f t="shared" si="0"/>
        <v>9</v>
      </c>
      <c r="C13" s="46" t="s">
        <v>27</v>
      </c>
      <c r="D13" s="157">
        <v>0</v>
      </c>
      <c r="E13" s="157">
        <v>700</v>
      </c>
      <c r="F13" s="158">
        <v>0</v>
      </c>
      <c r="G13" s="157">
        <v>0</v>
      </c>
      <c r="H13" s="157">
        <v>0</v>
      </c>
      <c r="I13" s="159">
        <f>SUM(D13:H13)</f>
        <v>700</v>
      </c>
      <c r="J13" s="160">
        <v>86</v>
      </c>
      <c r="K13" s="160">
        <v>172</v>
      </c>
      <c r="L13" s="217">
        <f t="shared" ref="L13:L18" si="4">I13+J13-K13</f>
        <v>614</v>
      </c>
      <c r="M13" s="137" t="s">
        <v>28</v>
      </c>
    </row>
    <row r="14" spans="1:13">
      <c r="A14" s="237"/>
      <c r="B14" s="4">
        <f t="shared" si="0"/>
        <v>10</v>
      </c>
      <c r="C14" s="87" t="s">
        <v>134</v>
      </c>
      <c r="D14" s="41">
        <v>0</v>
      </c>
      <c r="E14" s="41">
        <v>550</v>
      </c>
      <c r="F14" s="104">
        <v>0</v>
      </c>
      <c r="G14" s="41">
        <v>0</v>
      </c>
      <c r="H14" s="41">
        <v>550</v>
      </c>
      <c r="I14" s="161">
        <f t="shared" ref="I14:I21" si="5">D14+E14+F14+G14+H14</f>
        <v>1100</v>
      </c>
      <c r="J14" s="162">
        <v>275</v>
      </c>
      <c r="K14" s="162">
        <v>550</v>
      </c>
      <c r="L14" s="218">
        <f t="shared" si="4"/>
        <v>825</v>
      </c>
      <c r="M14" s="131" t="s">
        <v>29</v>
      </c>
    </row>
    <row r="15" spans="1:13">
      <c r="A15" s="237"/>
      <c r="B15" s="4">
        <f t="shared" si="0"/>
        <v>11</v>
      </c>
      <c r="C15" s="2" t="s">
        <v>30</v>
      </c>
      <c r="D15" s="41">
        <v>0</v>
      </c>
      <c r="E15" s="41">
        <v>550</v>
      </c>
      <c r="F15" s="104">
        <v>0</v>
      </c>
      <c r="G15" s="41">
        <v>0</v>
      </c>
      <c r="H15" s="41">
        <v>500</v>
      </c>
      <c r="I15" s="161">
        <f t="shared" si="5"/>
        <v>1050</v>
      </c>
      <c r="J15" s="163">
        <v>313</v>
      </c>
      <c r="K15" s="162">
        <v>687</v>
      </c>
      <c r="L15" s="218">
        <f t="shared" si="4"/>
        <v>676</v>
      </c>
      <c r="M15" s="131" t="s">
        <v>31</v>
      </c>
    </row>
    <row r="16" spans="1:13">
      <c r="A16" s="237"/>
      <c r="B16" s="4">
        <f t="shared" si="0"/>
        <v>12</v>
      </c>
      <c r="C16" s="2" t="s">
        <v>32</v>
      </c>
      <c r="D16" s="41">
        <v>0</v>
      </c>
      <c r="E16" s="41">
        <v>550</v>
      </c>
      <c r="F16" s="104">
        <v>0</v>
      </c>
      <c r="G16" s="41">
        <v>0</v>
      </c>
      <c r="H16" s="41">
        <v>550</v>
      </c>
      <c r="I16" s="161">
        <f t="shared" si="5"/>
        <v>1100</v>
      </c>
      <c r="J16" s="163">
        <v>343.5</v>
      </c>
      <c r="K16" s="162">
        <v>687</v>
      </c>
      <c r="L16" s="218">
        <f t="shared" si="4"/>
        <v>756.5</v>
      </c>
      <c r="M16" s="131" t="s">
        <v>31</v>
      </c>
    </row>
    <row r="17" spans="1:14">
      <c r="A17" s="237"/>
      <c r="B17" s="4">
        <f t="shared" si="0"/>
        <v>13</v>
      </c>
      <c r="C17" s="2" t="s">
        <v>33</v>
      </c>
      <c r="D17" s="41">
        <v>0</v>
      </c>
      <c r="E17" s="41">
        <v>550</v>
      </c>
      <c r="F17" s="104">
        <v>0</v>
      </c>
      <c r="G17" s="41">
        <v>0</v>
      </c>
      <c r="H17" s="41">
        <v>500</v>
      </c>
      <c r="I17" s="161">
        <f t="shared" si="5"/>
        <v>1050</v>
      </c>
      <c r="J17" s="163">
        <v>343.5</v>
      </c>
      <c r="K17" s="162">
        <v>687</v>
      </c>
      <c r="L17" s="218">
        <f t="shared" si="4"/>
        <v>706.5</v>
      </c>
      <c r="M17" s="131" t="s">
        <v>31</v>
      </c>
    </row>
    <row r="18" spans="1:14">
      <c r="A18" s="237"/>
      <c r="B18" s="4">
        <f t="shared" si="0"/>
        <v>14</v>
      </c>
      <c r="C18" s="88" t="s">
        <v>34</v>
      </c>
      <c r="D18" s="41">
        <v>0</v>
      </c>
      <c r="E18" s="41">
        <v>550</v>
      </c>
      <c r="F18" s="104">
        <v>0</v>
      </c>
      <c r="G18" s="41">
        <v>0</v>
      </c>
      <c r="H18" s="41">
        <v>500</v>
      </c>
      <c r="I18" s="161">
        <f t="shared" si="5"/>
        <v>1050</v>
      </c>
      <c r="J18" s="164">
        <v>293.5</v>
      </c>
      <c r="K18" s="162">
        <v>587</v>
      </c>
      <c r="L18" s="218">
        <f t="shared" si="4"/>
        <v>756.5</v>
      </c>
      <c r="M18" s="131" t="s">
        <v>35</v>
      </c>
    </row>
    <row r="19" spans="1:14" hidden="1">
      <c r="A19" s="237"/>
      <c r="B19" s="4">
        <f t="shared" si="0"/>
        <v>15</v>
      </c>
      <c r="C19" s="88" t="s">
        <v>36</v>
      </c>
      <c r="D19" s="41">
        <v>0</v>
      </c>
      <c r="E19" s="41">
        <v>250</v>
      </c>
      <c r="F19" s="41">
        <v>0</v>
      </c>
      <c r="G19" s="41">
        <v>300</v>
      </c>
      <c r="H19" s="41">
        <v>0</v>
      </c>
      <c r="I19" s="161">
        <f t="shared" si="5"/>
        <v>550</v>
      </c>
      <c r="J19" s="163">
        <v>275</v>
      </c>
      <c r="K19" s="163">
        <v>499</v>
      </c>
      <c r="L19" s="71">
        <f t="shared" ref="L19:L35" si="6">I19+J19-K19</f>
        <v>326</v>
      </c>
      <c r="M19" s="152" t="s">
        <v>37</v>
      </c>
    </row>
    <row r="20" spans="1:14">
      <c r="A20" s="237"/>
      <c r="B20" s="4">
        <f t="shared" si="0"/>
        <v>16</v>
      </c>
      <c r="C20" s="88" t="s">
        <v>38</v>
      </c>
      <c r="D20" s="41">
        <v>300</v>
      </c>
      <c r="E20" s="41">
        <v>417</v>
      </c>
      <c r="F20" s="41">
        <v>0</v>
      </c>
      <c r="G20" s="41">
        <v>500</v>
      </c>
      <c r="H20" s="41">
        <v>150</v>
      </c>
      <c r="I20" s="161">
        <f t="shared" si="5"/>
        <v>1367</v>
      </c>
      <c r="J20" s="164">
        <v>293.5</v>
      </c>
      <c r="K20" s="162">
        <v>587</v>
      </c>
      <c r="L20" s="71">
        <f t="shared" si="6"/>
        <v>1073.5</v>
      </c>
      <c r="M20" s="131" t="s">
        <v>35</v>
      </c>
    </row>
    <row r="21" spans="1:14" ht="30">
      <c r="A21" s="237"/>
      <c r="B21" s="4">
        <f t="shared" si="0"/>
        <v>17</v>
      </c>
      <c r="C21" s="88" t="s">
        <v>39</v>
      </c>
      <c r="D21" s="41">
        <v>400</v>
      </c>
      <c r="E21" s="41">
        <v>200</v>
      </c>
      <c r="F21" s="41">
        <v>0</v>
      </c>
      <c r="G21" s="41">
        <v>600</v>
      </c>
      <c r="H21" s="41">
        <v>50</v>
      </c>
      <c r="I21" s="161">
        <f t="shared" si="5"/>
        <v>1250</v>
      </c>
      <c r="J21" s="164">
        <v>137.5</v>
      </c>
      <c r="K21" s="198">
        <v>275</v>
      </c>
      <c r="L21" s="71">
        <f t="shared" si="6"/>
        <v>1112.5</v>
      </c>
      <c r="M21" s="131" t="s">
        <v>135</v>
      </c>
    </row>
    <row r="22" spans="1:14">
      <c r="A22" s="237"/>
      <c r="B22" s="4">
        <f t="shared" si="0"/>
        <v>18</v>
      </c>
      <c r="C22" s="88" t="s">
        <v>40</v>
      </c>
      <c r="D22" s="41">
        <v>400</v>
      </c>
      <c r="E22" s="41">
        <v>67</v>
      </c>
      <c r="F22" s="104">
        <v>0</v>
      </c>
      <c r="G22" s="41">
        <v>200</v>
      </c>
      <c r="H22" s="41">
        <v>150</v>
      </c>
      <c r="I22" s="161">
        <f>SUM(D22:H22)</f>
        <v>817</v>
      </c>
      <c r="J22" s="164">
        <v>293.5</v>
      </c>
      <c r="K22" s="162">
        <v>587</v>
      </c>
      <c r="L22" s="71">
        <f t="shared" si="6"/>
        <v>523.5</v>
      </c>
      <c r="M22" s="131" t="s">
        <v>35</v>
      </c>
    </row>
    <row r="23" spans="1:14">
      <c r="A23" s="237"/>
      <c r="B23" s="4">
        <f t="shared" si="0"/>
        <v>19</v>
      </c>
      <c r="C23" s="88" t="s">
        <v>41</v>
      </c>
      <c r="D23" s="41">
        <v>300</v>
      </c>
      <c r="E23" s="41">
        <v>350</v>
      </c>
      <c r="F23" s="104">
        <v>0</v>
      </c>
      <c r="G23" s="41">
        <v>300</v>
      </c>
      <c r="H23" s="41">
        <v>100</v>
      </c>
      <c r="I23" s="161">
        <f>SUM(D23:H23)</f>
        <v>1050</v>
      </c>
      <c r="J23" s="162">
        <v>150</v>
      </c>
      <c r="K23" s="162">
        <v>499</v>
      </c>
      <c r="L23" s="71">
        <f t="shared" si="6"/>
        <v>701</v>
      </c>
      <c r="M23" s="131" t="s">
        <v>23</v>
      </c>
    </row>
    <row r="24" spans="1:14">
      <c r="A24" s="237"/>
      <c r="B24" s="4">
        <f t="shared" si="0"/>
        <v>20</v>
      </c>
      <c r="C24" s="2" t="s">
        <v>42</v>
      </c>
      <c r="D24" s="41">
        <v>300</v>
      </c>
      <c r="E24" s="41">
        <v>417</v>
      </c>
      <c r="F24" s="104">
        <v>0</v>
      </c>
      <c r="G24" s="41">
        <v>150</v>
      </c>
      <c r="H24" s="41">
        <v>100</v>
      </c>
      <c r="I24" s="161">
        <f>SUM(D24:H24)</f>
        <v>967</v>
      </c>
      <c r="J24" s="162">
        <v>125</v>
      </c>
      <c r="K24" s="162">
        <v>587</v>
      </c>
      <c r="L24" s="71">
        <f t="shared" si="6"/>
        <v>505</v>
      </c>
      <c r="M24" s="131" t="s">
        <v>35</v>
      </c>
    </row>
    <row r="25" spans="1:14">
      <c r="A25" s="237"/>
      <c r="B25" s="4">
        <f t="shared" si="0"/>
        <v>21</v>
      </c>
      <c r="C25" s="89" t="s">
        <v>43</v>
      </c>
      <c r="D25" s="41">
        <v>200</v>
      </c>
      <c r="E25" s="75">
        <v>250</v>
      </c>
      <c r="F25" s="104">
        <v>0</v>
      </c>
      <c r="G25" s="41">
        <v>150</v>
      </c>
      <c r="H25" s="41">
        <v>150</v>
      </c>
      <c r="I25" s="161">
        <f>SUM(D25:H25)</f>
        <v>750</v>
      </c>
      <c r="J25" s="162">
        <v>117</v>
      </c>
      <c r="K25" s="162">
        <v>587</v>
      </c>
      <c r="L25" s="71">
        <f t="shared" si="6"/>
        <v>280</v>
      </c>
      <c r="M25" s="131" t="s">
        <v>35</v>
      </c>
    </row>
    <row r="26" spans="1:14">
      <c r="A26" s="237"/>
      <c r="B26" s="4">
        <f t="shared" si="0"/>
        <v>22</v>
      </c>
      <c r="C26" s="89" t="s">
        <v>44</v>
      </c>
      <c r="D26" s="41">
        <v>400</v>
      </c>
      <c r="E26" s="41">
        <v>500</v>
      </c>
      <c r="F26" s="104">
        <v>0</v>
      </c>
      <c r="G26" s="41">
        <v>200</v>
      </c>
      <c r="H26" s="41">
        <v>100</v>
      </c>
      <c r="I26" s="161">
        <f>SUM(D26:H26)</f>
        <v>1200</v>
      </c>
      <c r="J26" s="164">
        <v>293.5</v>
      </c>
      <c r="K26" s="162">
        <v>687</v>
      </c>
      <c r="L26" s="71">
        <f t="shared" si="6"/>
        <v>806.5</v>
      </c>
      <c r="M26" s="131" t="s">
        <v>35</v>
      </c>
    </row>
    <row r="27" spans="1:14" ht="30">
      <c r="A27" s="237"/>
      <c r="B27" s="4">
        <f t="shared" si="0"/>
        <v>23</v>
      </c>
      <c r="C27" s="4" t="s">
        <v>45</v>
      </c>
      <c r="D27" s="41">
        <v>0</v>
      </c>
      <c r="E27" s="41">
        <v>80</v>
      </c>
      <c r="F27" s="41">
        <v>150</v>
      </c>
      <c r="G27" s="41">
        <v>0</v>
      </c>
      <c r="H27" s="41">
        <v>0</v>
      </c>
      <c r="I27" s="161">
        <f>SUM(E27:G27)</f>
        <v>230</v>
      </c>
      <c r="J27" s="164">
        <v>73.5</v>
      </c>
      <c r="K27" s="162">
        <v>147</v>
      </c>
      <c r="L27" s="71">
        <f t="shared" si="6"/>
        <v>156.5</v>
      </c>
      <c r="M27" s="133" t="s">
        <v>46</v>
      </c>
    </row>
    <row r="28" spans="1:14">
      <c r="A28" s="237"/>
      <c r="B28" s="4">
        <f t="shared" si="0"/>
        <v>24</v>
      </c>
      <c r="C28" s="87" t="s">
        <v>47</v>
      </c>
      <c r="D28" s="41">
        <v>0</v>
      </c>
      <c r="E28" s="41">
        <v>80</v>
      </c>
      <c r="F28" s="41">
        <v>0</v>
      </c>
      <c r="G28" s="41">
        <v>0</v>
      </c>
      <c r="H28" s="41">
        <v>650</v>
      </c>
      <c r="I28" s="161">
        <f>SUM(D28:H28)</f>
        <v>730</v>
      </c>
      <c r="J28" s="163">
        <v>23</v>
      </c>
      <c r="K28" s="162">
        <v>587</v>
      </c>
      <c r="L28" s="71">
        <f t="shared" si="6"/>
        <v>166</v>
      </c>
      <c r="M28" s="133" t="s">
        <v>35</v>
      </c>
    </row>
    <row r="29" spans="1:14">
      <c r="A29" s="237"/>
      <c r="B29" s="4">
        <f t="shared" si="0"/>
        <v>25</v>
      </c>
      <c r="C29" s="2" t="s">
        <v>49</v>
      </c>
      <c r="D29" s="41">
        <v>0</v>
      </c>
      <c r="E29" s="41">
        <v>80</v>
      </c>
      <c r="F29" s="41">
        <v>0</v>
      </c>
      <c r="G29" s="41">
        <v>0</v>
      </c>
      <c r="H29" s="41">
        <v>650</v>
      </c>
      <c r="I29" s="161">
        <f>SUM(D29:H29)</f>
        <v>730</v>
      </c>
      <c r="J29" s="163">
        <v>73</v>
      </c>
      <c r="K29" s="162">
        <v>587</v>
      </c>
      <c r="L29" s="71">
        <f t="shared" si="6"/>
        <v>216</v>
      </c>
      <c r="M29" s="131" t="s">
        <v>48</v>
      </c>
    </row>
    <row r="30" spans="1:14" ht="15.75" thickBot="1">
      <c r="A30" s="238"/>
      <c r="B30" s="47">
        <f t="shared" si="0"/>
        <v>26</v>
      </c>
      <c r="C30" s="48" t="s">
        <v>50</v>
      </c>
      <c r="D30" s="165">
        <v>0</v>
      </c>
      <c r="E30" s="165">
        <v>80</v>
      </c>
      <c r="F30" s="165">
        <v>0</v>
      </c>
      <c r="G30" s="165">
        <v>0</v>
      </c>
      <c r="H30" s="165">
        <v>650</v>
      </c>
      <c r="I30" s="166">
        <f>SUM(E30:H30)</f>
        <v>730</v>
      </c>
      <c r="J30" s="167">
        <v>43</v>
      </c>
      <c r="K30" s="168">
        <v>587</v>
      </c>
      <c r="L30" s="106">
        <f t="shared" si="6"/>
        <v>186</v>
      </c>
      <c r="M30" s="144" t="s">
        <v>35</v>
      </c>
    </row>
    <row r="31" spans="1:14" s="76" customFormat="1" ht="15" customHeight="1">
      <c r="A31" s="241" t="s">
        <v>127</v>
      </c>
      <c r="B31" s="57">
        <f t="shared" si="0"/>
        <v>27</v>
      </c>
      <c r="C31" s="57" t="s">
        <v>51</v>
      </c>
      <c r="D31" s="226">
        <v>420</v>
      </c>
      <c r="E31" s="227">
        <v>0</v>
      </c>
      <c r="F31" s="227">
        <v>83.3</v>
      </c>
      <c r="G31" s="227">
        <v>0</v>
      </c>
      <c r="H31" s="227">
        <v>15</v>
      </c>
      <c r="I31" s="228">
        <f t="shared" ref="I31:I40" si="7">SUM(D31:H31)</f>
        <v>518.29999999999995</v>
      </c>
      <c r="J31" s="227">
        <v>276</v>
      </c>
      <c r="K31" s="227">
        <v>551</v>
      </c>
      <c r="L31" s="229">
        <f t="shared" si="6"/>
        <v>243.29999999999995</v>
      </c>
      <c r="M31" s="130" t="s">
        <v>122</v>
      </c>
      <c r="N31" s="230"/>
    </row>
    <row r="32" spans="1:14" ht="30">
      <c r="A32" s="242"/>
      <c r="B32" s="4">
        <f t="shared" si="0"/>
        <v>28</v>
      </c>
      <c r="C32" s="169" t="s">
        <v>110</v>
      </c>
      <c r="D32" s="14">
        <v>0</v>
      </c>
      <c r="E32" s="14">
        <v>550</v>
      </c>
      <c r="F32" s="14">
        <v>0</v>
      </c>
      <c r="G32" s="14">
        <v>0</v>
      </c>
      <c r="H32" s="14">
        <v>50</v>
      </c>
      <c r="I32" s="98">
        <f t="shared" si="7"/>
        <v>600</v>
      </c>
      <c r="J32" s="14">
        <v>0</v>
      </c>
      <c r="K32" s="14">
        <v>487</v>
      </c>
      <c r="L32" s="33">
        <f t="shared" si="6"/>
        <v>113</v>
      </c>
      <c r="M32" s="135" t="s">
        <v>144</v>
      </c>
    </row>
    <row r="33" spans="1:13">
      <c r="A33" s="242"/>
      <c r="B33" s="4">
        <f t="shared" si="0"/>
        <v>29</v>
      </c>
      <c r="C33" s="170" t="s">
        <v>52</v>
      </c>
      <c r="D33" s="14">
        <v>0</v>
      </c>
      <c r="E33" s="14">
        <v>700</v>
      </c>
      <c r="F33" s="14">
        <v>0</v>
      </c>
      <c r="G33" s="14">
        <v>0</v>
      </c>
      <c r="H33" s="14">
        <v>100</v>
      </c>
      <c r="I33" s="98">
        <f t="shared" si="7"/>
        <v>800</v>
      </c>
      <c r="J33" s="14">
        <v>291</v>
      </c>
      <c r="K33" s="14">
        <v>687</v>
      </c>
      <c r="L33" s="33">
        <f t="shared" si="6"/>
        <v>404</v>
      </c>
      <c r="M33" s="135" t="s">
        <v>35</v>
      </c>
    </row>
    <row r="34" spans="1:13">
      <c r="A34" s="242"/>
      <c r="B34" s="4">
        <f t="shared" si="0"/>
        <v>30</v>
      </c>
      <c r="C34" s="231" t="s">
        <v>156</v>
      </c>
      <c r="D34" s="3">
        <v>420</v>
      </c>
      <c r="E34" s="14">
        <v>200</v>
      </c>
      <c r="F34" s="14">
        <v>83.3</v>
      </c>
      <c r="G34" s="14">
        <v>0</v>
      </c>
      <c r="H34" s="14">
        <v>115</v>
      </c>
      <c r="I34" s="171">
        <f t="shared" si="7"/>
        <v>818.3</v>
      </c>
      <c r="J34" s="14">
        <v>250</v>
      </c>
      <c r="K34" s="14">
        <v>499</v>
      </c>
      <c r="L34" s="33">
        <f t="shared" si="6"/>
        <v>569.29999999999995</v>
      </c>
      <c r="M34" s="135" t="s">
        <v>131</v>
      </c>
    </row>
    <row r="35" spans="1:13">
      <c r="A35" s="242"/>
      <c r="B35" s="4">
        <f t="shared" si="0"/>
        <v>31</v>
      </c>
      <c r="C35" s="170" t="s">
        <v>53</v>
      </c>
      <c r="D35" s="117">
        <v>0</v>
      </c>
      <c r="E35" s="199">
        <v>550</v>
      </c>
      <c r="F35" s="199">
        <v>100</v>
      </c>
      <c r="G35" s="117">
        <v>0</v>
      </c>
      <c r="H35" s="14">
        <v>80</v>
      </c>
      <c r="I35" s="98">
        <f t="shared" si="7"/>
        <v>730</v>
      </c>
      <c r="J35" s="14">
        <v>88</v>
      </c>
      <c r="K35" s="81">
        <v>587</v>
      </c>
      <c r="L35" s="33">
        <f t="shared" si="6"/>
        <v>231</v>
      </c>
      <c r="M35" s="135" t="s">
        <v>35</v>
      </c>
    </row>
    <row r="36" spans="1:13" s="76" customFormat="1" ht="15.75" thickBot="1">
      <c r="A36" s="242"/>
      <c r="B36" s="88">
        <f t="shared" si="0"/>
        <v>32</v>
      </c>
      <c r="C36" s="153" t="s">
        <v>108</v>
      </c>
      <c r="D36" s="193">
        <v>0</v>
      </c>
      <c r="E36" s="224">
        <v>500</v>
      </c>
      <c r="F36" s="195">
        <v>0</v>
      </c>
      <c r="G36" s="195">
        <f>'[3]GT-Tailieu'!W31</f>
        <v>0</v>
      </c>
      <c r="H36" s="194">
        <v>50</v>
      </c>
      <c r="I36" s="96">
        <f t="shared" si="7"/>
        <v>550</v>
      </c>
      <c r="J36" s="196">
        <v>0</v>
      </c>
      <c r="K36" s="196">
        <v>447</v>
      </c>
      <c r="L36" s="196">
        <f>(I36+J36)-K36</f>
        <v>103</v>
      </c>
      <c r="M36" s="136" t="s">
        <v>35</v>
      </c>
    </row>
    <row r="37" spans="1:13" s="107" customFormat="1">
      <c r="A37" s="236" t="s">
        <v>54</v>
      </c>
      <c r="B37" s="46">
        <f t="shared" si="0"/>
        <v>33</v>
      </c>
      <c r="C37" s="46" t="s">
        <v>55</v>
      </c>
      <c r="D37" s="50">
        <v>600</v>
      </c>
      <c r="E37" s="50">
        <v>1125</v>
      </c>
      <c r="F37" s="50">
        <v>625</v>
      </c>
      <c r="G37" s="50">
        <v>0</v>
      </c>
      <c r="H37" s="50">
        <v>95</v>
      </c>
      <c r="I37" s="97">
        <f t="shared" si="7"/>
        <v>2445</v>
      </c>
      <c r="J37" s="50">
        <v>240.5</v>
      </c>
      <c r="K37" s="51">
        <f>0.7*687</f>
        <v>480.9</v>
      </c>
      <c r="L37" s="91">
        <f t="shared" ref="L37:L47" si="8">I37+J37-K37</f>
        <v>2204.6</v>
      </c>
      <c r="M37" s="137" t="s">
        <v>56</v>
      </c>
    </row>
    <row r="38" spans="1:13" s="107" customFormat="1">
      <c r="A38" s="237"/>
      <c r="B38" s="4">
        <f t="shared" si="0"/>
        <v>34</v>
      </c>
      <c r="C38" s="2" t="s">
        <v>57</v>
      </c>
      <c r="D38" s="3">
        <v>0</v>
      </c>
      <c r="E38" s="3">
        <v>700</v>
      </c>
      <c r="F38" s="3">
        <v>0</v>
      </c>
      <c r="G38" s="3">
        <v>0</v>
      </c>
      <c r="H38" s="3">
        <v>125</v>
      </c>
      <c r="I38" s="98">
        <f t="shared" si="7"/>
        <v>825</v>
      </c>
      <c r="J38" s="3">
        <v>249.5</v>
      </c>
      <c r="K38" s="10">
        <f>587*0.85</f>
        <v>498.95</v>
      </c>
      <c r="L38" s="71">
        <f t="shared" si="8"/>
        <v>575.54999999999995</v>
      </c>
      <c r="M38" s="131" t="s">
        <v>23</v>
      </c>
    </row>
    <row r="39" spans="1:13" s="107" customFormat="1">
      <c r="A39" s="237"/>
      <c r="B39" s="4">
        <f t="shared" si="0"/>
        <v>35</v>
      </c>
      <c r="C39" s="2" t="s">
        <v>58</v>
      </c>
      <c r="D39" s="3">
        <v>0</v>
      </c>
      <c r="E39" s="3">
        <v>700</v>
      </c>
      <c r="F39" s="3">
        <v>250</v>
      </c>
      <c r="G39" s="3">
        <v>0</v>
      </c>
      <c r="H39" s="3">
        <v>155</v>
      </c>
      <c r="I39" s="98">
        <f t="shared" si="7"/>
        <v>1105</v>
      </c>
      <c r="J39" s="3">
        <v>249.5</v>
      </c>
      <c r="K39" s="10">
        <f>587*0.85</f>
        <v>498.95</v>
      </c>
      <c r="L39" s="71">
        <f t="shared" si="8"/>
        <v>855.55</v>
      </c>
      <c r="M39" s="131" t="s">
        <v>23</v>
      </c>
    </row>
    <row r="40" spans="1:13" s="107" customFormat="1" ht="15.75" thickBot="1">
      <c r="A40" s="238"/>
      <c r="B40" s="47">
        <f t="shared" si="0"/>
        <v>36</v>
      </c>
      <c r="C40" s="48" t="s">
        <v>59</v>
      </c>
      <c r="D40" s="49">
        <v>600</v>
      </c>
      <c r="E40" s="49">
        <v>850</v>
      </c>
      <c r="F40" s="49">
        <v>125</v>
      </c>
      <c r="G40" s="49">
        <v>0</v>
      </c>
      <c r="H40" s="49">
        <v>125</v>
      </c>
      <c r="I40" s="95">
        <f t="shared" si="7"/>
        <v>1700</v>
      </c>
      <c r="J40" s="49">
        <v>249.5</v>
      </c>
      <c r="K40" s="108">
        <f>587*0.85</f>
        <v>498.95</v>
      </c>
      <c r="L40" s="106">
        <f t="shared" si="8"/>
        <v>1450.55</v>
      </c>
      <c r="M40" s="132" t="s">
        <v>23</v>
      </c>
    </row>
    <row r="41" spans="1:13">
      <c r="A41" s="249" t="s">
        <v>60</v>
      </c>
      <c r="B41" s="46">
        <f t="shared" si="0"/>
        <v>37</v>
      </c>
      <c r="C41" s="182" t="s">
        <v>111</v>
      </c>
      <c r="D41" s="183">
        <v>280</v>
      </c>
      <c r="E41" s="183">
        <v>350</v>
      </c>
      <c r="F41" s="183">
        <v>0</v>
      </c>
      <c r="G41" s="183">
        <v>0</v>
      </c>
      <c r="H41" s="183">
        <v>115</v>
      </c>
      <c r="I41" s="184">
        <f t="shared" ref="I41:I47" si="9">SUM(D41:H41)</f>
        <v>745</v>
      </c>
      <c r="J41" s="157">
        <v>187.5</v>
      </c>
      <c r="K41" s="157">
        <v>481</v>
      </c>
      <c r="L41" s="158">
        <f t="shared" si="8"/>
        <v>451.5</v>
      </c>
      <c r="M41" s="185" t="s">
        <v>61</v>
      </c>
    </row>
    <row r="42" spans="1:13">
      <c r="A42" s="250"/>
      <c r="B42" s="4">
        <f t="shared" si="0"/>
        <v>38</v>
      </c>
      <c r="C42" s="42" t="s">
        <v>112</v>
      </c>
      <c r="D42" s="43">
        <v>30</v>
      </c>
      <c r="E42" s="43">
        <v>550</v>
      </c>
      <c r="F42" s="43">
        <v>0</v>
      </c>
      <c r="G42" s="43">
        <v>0</v>
      </c>
      <c r="H42" s="43">
        <f>305+150</f>
        <v>455</v>
      </c>
      <c r="I42" s="99">
        <f t="shared" si="9"/>
        <v>1035</v>
      </c>
      <c r="J42" s="41">
        <v>240</v>
      </c>
      <c r="K42" s="41">
        <v>550</v>
      </c>
      <c r="L42" s="104">
        <f t="shared" si="8"/>
        <v>725</v>
      </c>
      <c r="M42" s="186" t="s">
        <v>146</v>
      </c>
    </row>
    <row r="43" spans="1:13">
      <c r="A43" s="250"/>
      <c r="B43" s="4">
        <f t="shared" si="0"/>
        <v>39</v>
      </c>
      <c r="C43" s="197" t="s">
        <v>148</v>
      </c>
      <c r="D43" s="43">
        <v>30</v>
      </c>
      <c r="E43" s="43">
        <v>0</v>
      </c>
      <c r="F43" s="43">
        <v>0</v>
      </c>
      <c r="G43" s="43">
        <v>0</v>
      </c>
      <c r="H43" s="43">
        <f>75+250</f>
        <v>325</v>
      </c>
      <c r="I43" s="99">
        <f t="shared" si="9"/>
        <v>355</v>
      </c>
      <c r="J43" s="41">
        <v>249.5</v>
      </c>
      <c r="K43" s="41">
        <v>499</v>
      </c>
      <c r="L43" s="104">
        <f t="shared" si="8"/>
        <v>105.5</v>
      </c>
      <c r="M43" s="138" t="s">
        <v>23</v>
      </c>
    </row>
    <row r="44" spans="1:13" s="76" customFormat="1">
      <c r="A44" s="250"/>
      <c r="B44" s="2">
        <f t="shared" si="0"/>
        <v>40</v>
      </c>
      <c r="C44" s="197" t="s">
        <v>147</v>
      </c>
      <c r="D44" s="43">
        <v>30</v>
      </c>
      <c r="E44" s="74">
        <v>0</v>
      </c>
      <c r="F44" s="74">
        <v>0</v>
      </c>
      <c r="G44" s="74">
        <v>0</v>
      </c>
      <c r="H44" s="74">
        <f>50+200</f>
        <v>250</v>
      </c>
      <c r="I44" s="99">
        <f t="shared" si="9"/>
        <v>280</v>
      </c>
      <c r="J44" s="75">
        <v>249.5</v>
      </c>
      <c r="K44" s="75">
        <v>499</v>
      </c>
      <c r="L44" s="105">
        <f t="shared" si="8"/>
        <v>30.5</v>
      </c>
      <c r="M44" s="139" t="s">
        <v>23</v>
      </c>
    </row>
    <row r="45" spans="1:13">
      <c r="A45" s="250"/>
      <c r="B45" s="4">
        <f t="shared" si="0"/>
        <v>41</v>
      </c>
      <c r="C45" s="42" t="s">
        <v>62</v>
      </c>
      <c r="D45" s="43">
        <v>405</v>
      </c>
      <c r="E45" s="43">
        <v>350</v>
      </c>
      <c r="F45" s="43">
        <v>0</v>
      </c>
      <c r="G45" s="43">
        <v>84</v>
      </c>
      <c r="H45" s="43">
        <v>150</v>
      </c>
      <c r="I45" s="99">
        <f t="shared" si="9"/>
        <v>989</v>
      </c>
      <c r="J45" s="41">
        <v>292</v>
      </c>
      <c r="K45" s="41">
        <v>584</v>
      </c>
      <c r="L45" s="104">
        <f t="shared" si="8"/>
        <v>697</v>
      </c>
      <c r="M45" s="138" t="s">
        <v>23</v>
      </c>
    </row>
    <row r="46" spans="1:13">
      <c r="A46" s="250"/>
      <c r="B46" s="4">
        <f t="shared" si="0"/>
        <v>42</v>
      </c>
      <c r="C46" s="42" t="s">
        <v>63</v>
      </c>
      <c r="D46" s="43">
        <v>230</v>
      </c>
      <c r="E46" s="43">
        <v>550</v>
      </c>
      <c r="F46" s="43">
        <v>0</v>
      </c>
      <c r="G46" s="43">
        <v>0</v>
      </c>
      <c r="H46" s="43">
        <f>210+100</f>
        <v>310</v>
      </c>
      <c r="I46" s="99">
        <f t="shared" si="9"/>
        <v>1090</v>
      </c>
      <c r="J46" s="75">
        <v>249.5</v>
      </c>
      <c r="K46" s="41">
        <v>499</v>
      </c>
      <c r="L46" s="104">
        <f t="shared" si="8"/>
        <v>840.5</v>
      </c>
      <c r="M46" s="138" t="s">
        <v>23</v>
      </c>
    </row>
    <row r="47" spans="1:13" s="44" customFormat="1" ht="15.75" thickBot="1">
      <c r="A47" s="251"/>
      <c r="B47" s="47">
        <f t="shared" si="0"/>
        <v>43</v>
      </c>
      <c r="C47" s="187" t="s">
        <v>86</v>
      </c>
      <c r="D47" s="188">
        <v>30</v>
      </c>
      <c r="E47" s="188">
        <v>350</v>
      </c>
      <c r="F47" s="188">
        <v>0</v>
      </c>
      <c r="G47" s="188">
        <v>0</v>
      </c>
      <c r="H47" s="188">
        <f>50+50</f>
        <v>100</v>
      </c>
      <c r="I47" s="189">
        <f t="shared" si="9"/>
        <v>480</v>
      </c>
      <c r="J47" s="190">
        <v>249.5</v>
      </c>
      <c r="K47" s="165">
        <v>499</v>
      </c>
      <c r="L47" s="191">
        <f t="shared" si="8"/>
        <v>230.5</v>
      </c>
      <c r="M47" s="192" t="s">
        <v>23</v>
      </c>
    </row>
    <row r="48" spans="1:13" s="29" customFormat="1" ht="15" customHeight="1">
      <c r="A48" s="243" t="s">
        <v>64</v>
      </c>
      <c r="B48" s="46">
        <f t="shared" si="0"/>
        <v>44</v>
      </c>
      <c r="C48" s="52" t="s">
        <v>116</v>
      </c>
      <c r="D48" s="53">
        <v>280</v>
      </c>
      <c r="E48" s="54">
        <v>350</v>
      </c>
      <c r="F48" s="54">
        <v>300</v>
      </c>
      <c r="G48" s="53">
        <v>0</v>
      </c>
      <c r="H48" s="54">
        <v>580</v>
      </c>
      <c r="I48" s="79">
        <f>SUM(D48:H48)</f>
        <v>1510</v>
      </c>
      <c r="J48" s="55">
        <f>587/2</f>
        <v>293.5</v>
      </c>
      <c r="K48" s="55">
        <f>0.7*687</f>
        <v>480.9</v>
      </c>
      <c r="L48" s="221">
        <f>(I48+J48)-K48</f>
        <v>1322.6</v>
      </c>
      <c r="M48" s="140" t="s">
        <v>145</v>
      </c>
    </row>
    <row r="49" spans="1:14" s="29" customFormat="1">
      <c r="A49" s="244"/>
      <c r="B49" s="4">
        <f t="shared" si="0"/>
        <v>45</v>
      </c>
      <c r="C49" s="32" t="s">
        <v>65</v>
      </c>
      <c r="D49" s="14">
        <v>340</v>
      </c>
      <c r="E49" s="33">
        <v>317</v>
      </c>
      <c r="F49" s="14">
        <v>325</v>
      </c>
      <c r="G49" s="14">
        <v>0</v>
      </c>
      <c r="H49" s="33">
        <v>305</v>
      </c>
      <c r="I49" s="80">
        <f t="shared" ref="I49:I55" si="10">SUM(D49:H49)</f>
        <v>1287</v>
      </c>
      <c r="J49" s="34">
        <v>249</v>
      </c>
      <c r="K49" s="33">
        <f>0.85*687</f>
        <v>583.94999999999993</v>
      </c>
      <c r="L49" s="214">
        <f t="shared" ref="L49:L55" si="11">(I49+J49)-K49</f>
        <v>952.05000000000007</v>
      </c>
      <c r="M49" s="212" t="s">
        <v>23</v>
      </c>
    </row>
    <row r="50" spans="1:14" s="29" customFormat="1">
      <c r="A50" s="244"/>
      <c r="B50" s="4">
        <f t="shared" si="0"/>
        <v>46</v>
      </c>
      <c r="C50" s="32" t="s">
        <v>117</v>
      </c>
      <c r="D50" s="14">
        <v>470</v>
      </c>
      <c r="E50" s="14">
        <v>428</v>
      </c>
      <c r="F50" s="14">
        <v>100</v>
      </c>
      <c r="G50" s="14">
        <v>0</v>
      </c>
      <c r="H50" s="33">
        <v>150</v>
      </c>
      <c r="I50" s="80">
        <f t="shared" si="10"/>
        <v>1148</v>
      </c>
      <c r="J50" s="14">
        <v>249</v>
      </c>
      <c r="K50" s="33">
        <f t="shared" ref="K50:K52" si="12">0.85*687</f>
        <v>583.94999999999993</v>
      </c>
      <c r="L50" s="214">
        <f t="shared" si="11"/>
        <v>813.05000000000007</v>
      </c>
      <c r="M50" s="212" t="s">
        <v>23</v>
      </c>
    </row>
    <row r="51" spans="1:14" s="29" customFormat="1">
      <c r="A51" s="244"/>
      <c r="B51" s="4">
        <f t="shared" si="0"/>
        <v>47</v>
      </c>
      <c r="C51" s="32" t="s">
        <v>66</v>
      </c>
      <c r="D51" s="14">
        <v>494</v>
      </c>
      <c r="E51" s="14">
        <v>105</v>
      </c>
      <c r="F51" s="14">
        <v>0</v>
      </c>
      <c r="G51" s="14">
        <v>0</v>
      </c>
      <c r="H51" s="33">
        <v>140</v>
      </c>
      <c r="I51" s="80">
        <f t="shared" si="10"/>
        <v>739</v>
      </c>
      <c r="J51" s="14">
        <v>249</v>
      </c>
      <c r="K51" s="33">
        <f t="shared" si="12"/>
        <v>583.94999999999993</v>
      </c>
      <c r="L51" s="214">
        <f t="shared" si="11"/>
        <v>404.05000000000007</v>
      </c>
      <c r="M51" s="212" t="s">
        <v>23</v>
      </c>
    </row>
    <row r="52" spans="1:14" s="29" customFormat="1">
      <c r="A52" s="244"/>
      <c r="B52" s="4">
        <f t="shared" si="0"/>
        <v>48</v>
      </c>
      <c r="C52" s="18" t="s">
        <v>118</v>
      </c>
      <c r="D52" s="14">
        <v>52.5</v>
      </c>
      <c r="E52" s="14">
        <v>700</v>
      </c>
      <c r="F52" s="14">
        <v>0</v>
      </c>
      <c r="G52" s="14">
        <v>0</v>
      </c>
      <c r="H52" s="33">
        <v>65</v>
      </c>
      <c r="I52" s="80">
        <f t="shared" si="10"/>
        <v>817.5</v>
      </c>
      <c r="J52" s="14">
        <v>0</v>
      </c>
      <c r="K52" s="33">
        <f t="shared" si="12"/>
        <v>583.94999999999993</v>
      </c>
      <c r="L52" s="214">
        <f t="shared" si="11"/>
        <v>233.55000000000007</v>
      </c>
      <c r="M52" s="212" t="s">
        <v>23</v>
      </c>
    </row>
    <row r="53" spans="1:14" s="29" customFormat="1">
      <c r="A53" s="244"/>
      <c r="B53" s="4">
        <f t="shared" si="0"/>
        <v>49</v>
      </c>
      <c r="C53" s="18" t="s">
        <v>119</v>
      </c>
      <c r="D53" s="14">
        <v>200</v>
      </c>
      <c r="E53" s="14">
        <v>403</v>
      </c>
      <c r="F53" s="14">
        <v>0</v>
      </c>
      <c r="G53" s="14">
        <v>0</v>
      </c>
      <c r="H53" s="33">
        <v>75</v>
      </c>
      <c r="I53" s="80">
        <f t="shared" si="10"/>
        <v>678</v>
      </c>
      <c r="J53" s="14">
        <v>84</v>
      </c>
      <c r="K53" s="33">
        <f t="shared" ref="K53:K54" si="13">0.85*587</f>
        <v>498.95</v>
      </c>
      <c r="L53" s="214">
        <f t="shared" si="11"/>
        <v>263.05</v>
      </c>
      <c r="M53" s="212" t="s">
        <v>23</v>
      </c>
    </row>
    <row r="54" spans="1:14" s="29" customFormat="1">
      <c r="A54" s="244"/>
      <c r="B54" s="4">
        <f t="shared" si="0"/>
        <v>50</v>
      </c>
      <c r="C54" s="225" t="s">
        <v>153</v>
      </c>
      <c r="D54" s="3">
        <v>52.5</v>
      </c>
      <c r="E54" s="70">
        <v>0</v>
      </c>
      <c r="F54" s="70">
        <v>50</v>
      </c>
      <c r="G54" s="3">
        <v>0</v>
      </c>
      <c r="H54" s="71">
        <f>85+250</f>
        <v>335</v>
      </c>
      <c r="I54" s="80">
        <f t="shared" si="10"/>
        <v>437.5</v>
      </c>
      <c r="J54" s="3">
        <v>69</v>
      </c>
      <c r="K54" s="71">
        <f t="shared" si="13"/>
        <v>498.95</v>
      </c>
      <c r="L54" s="214">
        <f t="shared" si="11"/>
        <v>7.5500000000000114</v>
      </c>
      <c r="M54" s="212" t="s">
        <v>23</v>
      </c>
      <c r="N54" s="107" t="s">
        <v>155</v>
      </c>
    </row>
    <row r="55" spans="1:14" s="29" customFormat="1" ht="30.75" thickBot="1">
      <c r="A55" s="245"/>
      <c r="B55" s="40">
        <f t="shared" si="0"/>
        <v>51</v>
      </c>
      <c r="C55" s="172" t="s">
        <v>120</v>
      </c>
      <c r="D55" s="155">
        <v>0</v>
      </c>
      <c r="E55" s="173">
        <v>500</v>
      </c>
      <c r="F55" s="155">
        <v>0</v>
      </c>
      <c r="G55" s="155">
        <v>0</v>
      </c>
      <c r="H55" s="155">
        <v>0</v>
      </c>
      <c r="I55" s="96">
        <f t="shared" si="10"/>
        <v>500</v>
      </c>
      <c r="J55" s="155">
        <v>0</v>
      </c>
      <c r="K55" s="154">
        <f>((0.85*687)/12 )*6</f>
        <v>291.97499999999997</v>
      </c>
      <c r="L55" s="154">
        <f t="shared" si="11"/>
        <v>208.02500000000003</v>
      </c>
      <c r="M55" s="213" t="s">
        <v>140</v>
      </c>
    </row>
    <row r="56" spans="1:14">
      <c r="A56" s="236" t="s">
        <v>67</v>
      </c>
      <c r="B56" s="46">
        <f t="shared" si="0"/>
        <v>52</v>
      </c>
      <c r="C56" s="65" t="s">
        <v>68</v>
      </c>
      <c r="D56" s="232">
        <v>400</v>
      </c>
      <c r="E56" s="223">
        <v>842</v>
      </c>
      <c r="F56" s="174">
        <f>'[4]Hội thảo'!R55</f>
        <v>0</v>
      </c>
      <c r="G56" s="174">
        <f>'[4]GT-Tailieu'!W57</f>
        <v>0</v>
      </c>
      <c r="H56" s="174">
        <f>'[4]NC khac'!V57</f>
        <v>0</v>
      </c>
      <c r="I56" s="79">
        <f>SUM(D56:H56)</f>
        <v>1242</v>
      </c>
      <c r="J56" s="55">
        <v>275.5</v>
      </c>
      <c r="K56" s="55">
        <v>550.9</v>
      </c>
      <c r="L56" s="55">
        <f>(I56+J56)-K56</f>
        <v>966.6</v>
      </c>
      <c r="M56" s="140" t="s">
        <v>128</v>
      </c>
    </row>
    <row r="57" spans="1:14" s="179" customFormat="1">
      <c r="A57" s="237"/>
      <c r="B57" s="2">
        <f t="shared" si="0"/>
        <v>53</v>
      </c>
      <c r="C57" s="63" t="s">
        <v>149</v>
      </c>
      <c r="D57" s="177">
        <v>0</v>
      </c>
      <c r="E57" s="177">
        <v>900</v>
      </c>
      <c r="F57" s="177">
        <v>0</v>
      </c>
      <c r="G57" s="177">
        <v>0</v>
      </c>
      <c r="H57" s="177">
        <v>0</v>
      </c>
      <c r="I57" s="98">
        <f>SUM(D57:H57)</f>
        <v>900</v>
      </c>
      <c r="J57" s="178">
        <v>17</v>
      </c>
      <c r="K57" s="178">
        <v>499</v>
      </c>
      <c r="L57" s="177">
        <f>I57+J57-K57</f>
        <v>418</v>
      </c>
      <c r="M57" s="131" t="s">
        <v>23</v>
      </c>
    </row>
    <row r="58" spans="1:14">
      <c r="A58" s="237"/>
      <c r="B58" s="4">
        <f t="shared" si="0"/>
        <v>54</v>
      </c>
      <c r="C58" s="63" t="s">
        <v>70</v>
      </c>
      <c r="D58" s="81">
        <f>[5]Detai!W63</f>
        <v>0</v>
      </c>
      <c r="E58" s="81">
        <v>350</v>
      </c>
      <c r="F58" s="81">
        <v>0</v>
      </c>
      <c r="G58" s="81">
        <f>'[5]GT-Tailieu'!W59</f>
        <v>0</v>
      </c>
      <c r="H58" s="81">
        <f>'[5]NC khac'!V59</f>
        <v>0</v>
      </c>
      <c r="I58" s="80">
        <f>SUM(D58:H58)</f>
        <v>350</v>
      </c>
      <c r="J58" s="90">
        <v>249.5</v>
      </c>
      <c r="K58" s="81">
        <v>499</v>
      </c>
      <c r="L58" s="81">
        <f>(I58+J58)-K58</f>
        <v>100.5</v>
      </c>
      <c r="M58" s="66" t="s">
        <v>23</v>
      </c>
    </row>
    <row r="59" spans="1:14">
      <c r="A59" s="237"/>
      <c r="B59" s="4">
        <f t="shared" si="0"/>
        <v>55</v>
      </c>
      <c r="C59" s="63" t="s">
        <v>71</v>
      </c>
      <c r="D59" s="81">
        <v>0</v>
      </c>
      <c r="E59" s="81">
        <v>700</v>
      </c>
      <c r="F59" s="81">
        <f>'[6]Hội thảo'!R58</f>
        <v>0</v>
      </c>
      <c r="G59" s="81">
        <f>'[6]GT-Tailieu'!W60</f>
        <v>0</v>
      </c>
      <c r="H59" s="81">
        <f>'[6]NC khac'!V60</f>
        <v>0</v>
      </c>
      <c r="I59" s="80">
        <f>SUM(D59:H59)</f>
        <v>700</v>
      </c>
      <c r="J59" s="81">
        <v>200</v>
      </c>
      <c r="K59" s="81">
        <v>499</v>
      </c>
      <c r="L59" s="81">
        <f>(I59+J59)-K59</f>
        <v>401</v>
      </c>
      <c r="M59" s="66" t="s">
        <v>23</v>
      </c>
    </row>
    <row r="60" spans="1:14" ht="15.75" thickBot="1">
      <c r="A60" s="238"/>
      <c r="B60" s="47">
        <f t="shared" si="0"/>
        <v>56</v>
      </c>
      <c r="C60" s="175" t="s">
        <v>72</v>
      </c>
      <c r="D60" s="82">
        <v>75</v>
      </c>
      <c r="E60" s="82">
        <v>600</v>
      </c>
      <c r="F60" s="82">
        <f>'[7]Hội thảo'!R59</f>
        <v>0</v>
      </c>
      <c r="G60" s="82">
        <f>'[7]GT-Tailieu'!W61</f>
        <v>0</v>
      </c>
      <c r="H60" s="82">
        <f>'[7]NC khac'!V61</f>
        <v>0</v>
      </c>
      <c r="I60" s="114">
        <f>SUM(D60:H60)</f>
        <v>675</v>
      </c>
      <c r="J60" s="82">
        <v>51</v>
      </c>
      <c r="K60" s="82">
        <v>584</v>
      </c>
      <c r="L60" s="82">
        <f>(I60+J60)-K60</f>
        <v>142</v>
      </c>
      <c r="M60" s="176" t="s">
        <v>23</v>
      </c>
    </row>
    <row r="61" spans="1:14" ht="30" customHeight="1">
      <c r="A61" s="236" t="s">
        <v>126</v>
      </c>
      <c r="B61" s="46">
        <f t="shared" si="0"/>
        <v>57</v>
      </c>
      <c r="C61" s="68" t="s">
        <v>73</v>
      </c>
      <c r="D61" s="55">
        <v>2000</v>
      </c>
      <c r="E61" s="55">
        <v>700</v>
      </c>
      <c r="F61" s="55">
        <v>0</v>
      </c>
      <c r="G61" s="55">
        <v>0</v>
      </c>
      <c r="H61" s="55">
        <v>0</v>
      </c>
      <c r="I61" s="79">
        <f t="shared" ref="I61" si="14">SUM(D61:H61)</f>
        <v>2700</v>
      </c>
      <c r="J61" s="55">
        <v>240</v>
      </c>
      <c r="K61" s="55">
        <v>481</v>
      </c>
      <c r="L61" s="55">
        <f t="shared" ref="L61:L90" si="15">I61+J61-K61</f>
        <v>2459</v>
      </c>
      <c r="M61" s="140" t="s">
        <v>61</v>
      </c>
    </row>
    <row r="62" spans="1:14">
      <c r="A62" s="237"/>
      <c r="B62" s="4">
        <f t="shared" si="0"/>
        <v>58</v>
      </c>
      <c r="C62" s="36" t="s">
        <v>74</v>
      </c>
      <c r="D62" s="81">
        <v>0</v>
      </c>
      <c r="E62" s="81">
        <v>950</v>
      </c>
      <c r="F62" s="81">
        <v>0</v>
      </c>
      <c r="G62" s="81">
        <v>0</v>
      </c>
      <c r="H62" s="81">
        <v>0</v>
      </c>
      <c r="I62" s="80">
        <f>SUM(D62:H62)</f>
        <v>950</v>
      </c>
      <c r="J62" s="81">
        <v>0</v>
      </c>
      <c r="K62" s="81">
        <v>787</v>
      </c>
      <c r="L62" s="81">
        <f t="shared" si="15"/>
        <v>163</v>
      </c>
      <c r="M62" s="109" t="s">
        <v>75</v>
      </c>
    </row>
    <row r="63" spans="1:14">
      <c r="A63" s="237"/>
      <c r="B63" s="4">
        <f t="shared" si="0"/>
        <v>59</v>
      </c>
      <c r="C63" s="36" t="s">
        <v>129</v>
      </c>
      <c r="D63" s="81">
        <v>94</v>
      </c>
      <c r="E63" s="81">
        <v>350</v>
      </c>
      <c r="F63" s="81">
        <v>250</v>
      </c>
      <c r="G63" s="81">
        <v>0</v>
      </c>
      <c r="H63" s="81">
        <v>50</v>
      </c>
      <c r="I63" s="80">
        <f t="shared" ref="I63:I70" si="16">SUM(D63:H63)</f>
        <v>744</v>
      </c>
      <c r="J63" s="81">
        <v>131</v>
      </c>
      <c r="K63" s="81">
        <v>687</v>
      </c>
      <c r="L63" s="81">
        <f t="shared" si="15"/>
        <v>188</v>
      </c>
      <c r="M63" s="141" t="s">
        <v>48</v>
      </c>
    </row>
    <row r="64" spans="1:14" s="205" customFormat="1">
      <c r="A64" s="237"/>
      <c r="B64" s="200">
        <f t="shared" si="0"/>
        <v>60</v>
      </c>
      <c r="C64" s="201" t="s">
        <v>76</v>
      </c>
      <c r="D64" s="202">
        <v>0</v>
      </c>
      <c r="E64" s="202">
        <v>350</v>
      </c>
      <c r="F64" s="202">
        <v>250</v>
      </c>
      <c r="G64" s="202">
        <v>0</v>
      </c>
      <c r="H64" s="202">
        <v>0</v>
      </c>
      <c r="I64" s="203">
        <f t="shared" si="16"/>
        <v>600</v>
      </c>
      <c r="J64" s="202">
        <v>0</v>
      </c>
      <c r="K64" s="202">
        <v>687</v>
      </c>
      <c r="L64" s="211">
        <f t="shared" si="15"/>
        <v>-87</v>
      </c>
      <c r="M64" s="204" t="s">
        <v>35</v>
      </c>
    </row>
    <row r="65" spans="1:13">
      <c r="A65" s="237"/>
      <c r="B65" s="4">
        <f t="shared" ref="B65:B90" si="17">ROW()-4</f>
        <v>61</v>
      </c>
      <c r="C65" s="36" t="s">
        <v>130</v>
      </c>
      <c r="D65" s="81">
        <v>932</v>
      </c>
      <c r="E65" s="81">
        <v>375</v>
      </c>
      <c r="F65" s="81">
        <v>0</v>
      </c>
      <c r="G65" s="81">
        <v>0</v>
      </c>
      <c r="H65" s="81">
        <v>120</v>
      </c>
      <c r="I65" s="80">
        <f t="shared" si="16"/>
        <v>1427</v>
      </c>
      <c r="J65" s="81">
        <v>10</v>
      </c>
      <c r="K65" s="81">
        <v>687</v>
      </c>
      <c r="L65" s="81">
        <f t="shared" si="15"/>
        <v>750</v>
      </c>
      <c r="M65" s="109" t="s">
        <v>35</v>
      </c>
    </row>
    <row r="66" spans="1:13">
      <c r="A66" s="237"/>
      <c r="B66" s="4">
        <f t="shared" si="17"/>
        <v>62</v>
      </c>
      <c r="C66" s="36" t="s">
        <v>104</v>
      </c>
      <c r="D66" s="81">
        <v>0</v>
      </c>
      <c r="E66" s="81">
        <v>2068</v>
      </c>
      <c r="F66" s="81">
        <v>0</v>
      </c>
      <c r="G66" s="81">
        <v>0</v>
      </c>
      <c r="H66" s="81"/>
      <c r="I66" s="80">
        <f t="shared" si="16"/>
        <v>2068</v>
      </c>
      <c r="J66" s="81">
        <v>0</v>
      </c>
      <c r="K66" s="81">
        <v>687</v>
      </c>
      <c r="L66" s="81">
        <f t="shared" si="15"/>
        <v>1381</v>
      </c>
      <c r="M66" s="141" t="s">
        <v>48</v>
      </c>
    </row>
    <row r="67" spans="1:13">
      <c r="A67" s="237"/>
      <c r="B67" s="4">
        <f t="shared" si="17"/>
        <v>63</v>
      </c>
      <c r="C67" s="67" t="s">
        <v>78</v>
      </c>
      <c r="D67" s="81">
        <v>50</v>
      </c>
      <c r="E67" s="81">
        <v>350</v>
      </c>
      <c r="F67" s="81">
        <v>0</v>
      </c>
      <c r="G67" s="81">
        <v>0</v>
      </c>
      <c r="H67" s="81">
        <v>310</v>
      </c>
      <c r="I67" s="80">
        <f t="shared" si="16"/>
        <v>710</v>
      </c>
      <c r="J67" s="81">
        <v>0</v>
      </c>
      <c r="K67" s="81">
        <v>587</v>
      </c>
      <c r="L67" s="81">
        <f>I67+J67-K67</f>
        <v>123</v>
      </c>
      <c r="M67" s="66" t="s">
        <v>35</v>
      </c>
    </row>
    <row r="68" spans="1:13">
      <c r="A68" s="237"/>
      <c r="B68" s="4">
        <f t="shared" si="17"/>
        <v>64</v>
      </c>
      <c r="C68" s="36" t="s">
        <v>80</v>
      </c>
      <c r="D68" s="81">
        <v>94</v>
      </c>
      <c r="E68" s="81">
        <v>700</v>
      </c>
      <c r="F68" s="81">
        <v>300</v>
      </c>
      <c r="G68" s="81">
        <v>0</v>
      </c>
      <c r="H68" s="81">
        <v>180</v>
      </c>
      <c r="I68" s="80">
        <f t="shared" si="16"/>
        <v>1274</v>
      </c>
      <c r="J68" s="81">
        <v>0</v>
      </c>
      <c r="K68" s="81">
        <v>499</v>
      </c>
      <c r="L68" s="81">
        <f t="shared" si="15"/>
        <v>775</v>
      </c>
      <c r="M68" s="109" t="s">
        <v>23</v>
      </c>
    </row>
    <row r="69" spans="1:13" ht="30">
      <c r="A69" s="237"/>
      <c r="B69" s="4">
        <f t="shared" si="17"/>
        <v>65</v>
      </c>
      <c r="C69" s="36" t="s">
        <v>79</v>
      </c>
      <c r="D69" s="81">
        <v>0</v>
      </c>
      <c r="E69" s="81">
        <v>0</v>
      </c>
      <c r="F69" s="81">
        <v>300</v>
      </c>
      <c r="G69" s="81">
        <v>0</v>
      </c>
      <c r="H69" s="81">
        <v>0</v>
      </c>
      <c r="I69" s="80">
        <f t="shared" si="16"/>
        <v>300</v>
      </c>
      <c r="J69" s="81">
        <f>249/2</f>
        <v>124.5</v>
      </c>
      <c r="K69" s="81">
        <v>249</v>
      </c>
      <c r="L69" s="81">
        <f t="shared" si="15"/>
        <v>175.5</v>
      </c>
      <c r="M69" s="109" t="s">
        <v>138</v>
      </c>
    </row>
    <row r="70" spans="1:13" ht="15.75" thickBot="1">
      <c r="A70" s="238"/>
      <c r="B70" s="47">
        <f t="shared" si="17"/>
        <v>66</v>
      </c>
      <c r="C70" s="69" t="s">
        <v>105</v>
      </c>
      <c r="D70" s="82">
        <v>0</v>
      </c>
      <c r="E70" s="82">
        <v>450</v>
      </c>
      <c r="F70" s="82">
        <v>0</v>
      </c>
      <c r="G70" s="82">
        <v>0</v>
      </c>
      <c r="H70" s="82">
        <v>75</v>
      </c>
      <c r="I70" s="114">
        <f t="shared" si="16"/>
        <v>525</v>
      </c>
      <c r="J70" s="82">
        <v>0</v>
      </c>
      <c r="K70" s="82">
        <v>499</v>
      </c>
      <c r="L70" s="82">
        <f t="shared" si="15"/>
        <v>26</v>
      </c>
      <c r="M70" s="110" t="s">
        <v>23</v>
      </c>
    </row>
    <row r="71" spans="1:13">
      <c r="A71" s="236" t="s">
        <v>81</v>
      </c>
      <c r="B71" s="46">
        <f t="shared" si="17"/>
        <v>67</v>
      </c>
      <c r="C71" s="46" t="s">
        <v>109</v>
      </c>
      <c r="D71" s="58">
        <v>240</v>
      </c>
      <c r="E71" s="58">
        <v>350</v>
      </c>
      <c r="F71" s="58">
        <v>0</v>
      </c>
      <c r="G71" s="58">
        <v>0</v>
      </c>
      <c r="H71" s="58">
        <v>455</v>
      </c>
      <c r="I71" s="97">
        <f t="shared" ref="I71:I90" si="18">SUM(D71:H71)</f>
        <v>1045</v>
      </c>
      <c r="J71" s="85">
        <v>206</v>
      </c>
      <c r="K71" s="50">
        <v>412</v>
      </c>
      <c r="L71" s="91">
        <f t="shared" si="15"/>
        <v>839</v>
      </c>
      <c r="M71" s="137" t="s">
        <v>139</v>
      </c>
    </row>
    <row r="72" spans="1:13" s="209" customFormat="1">
      <c r="A72" s="237"/>
      <c r="B72" s="208">
        <f t="shared" si="17"/>
        <v>68</v>
      </c>
      <c r="C72" s="207" t="s">
        <v>152</v>
      </c>
      <c r="D72" s="9">
        <v>0</v>
      </c>
      <c r="E72" s="9">
        <v>0</v>
      </c>
      <c r="F72" s="9">
        <v>80</v>
      </c>
      <c r="G72" s="9">
        <v>300</v>
      </c>
      <c r="H72" s="9">
        <v>150</v>
      </c>
      <c r="I72" s="98">
        <f t="shared" si="18"/>
        <v>530</v>
      </c>
      <c r="J72" s="199">
        <v>0</v>
      </c>
      <c r="K72" s="9">
        <v>481</v>
      </c>
      <c r="L72" s="177">
        <f t="shared" si="15"/>
        <v>49</v>
      </c>
      <c r="M72" s="131" t="s">
        <v>132</v>
      </c>
    </row>
    <row r="73" spans="1:13">
      <c r="A73" s="237"/>
      <c r="B73" s="4">
        <f t="shared" si="17"/>
        <v>69</v>
      </c>
      <c r="C73" s="4" t="s">
        <v>82</v>
      </c>
      <c r="D73" s="24">
        <v>400</v>
      </c>
      <c r="E73" s="24">
        <v>52.5</v>
      </c>
      <c r="F73" s="24">
        <v>0</v>
      </c>
      <c r="G73" s="24">
        <v>0</v>
      </c>
      <c r="H73" s="24">
        <v>170</v>
      </c>
      <c r="I73" s="98">
        <f t="shared" si="18"/>
        <v>622.5</v>
      </c>
      <c r="J73" s="86">
        <v>343</v>
      </c>
      <c r="K73" s="3">
        <v>584</v>
      </c>
      <c r="L73" s="71">
        <f t="shared" si="15"/>
        <v>381.5</v>
      </c>
      <c r="M73" s="133" t="s">
        <v>23</v>
      </c>
    </row>
    <row r="74" spans="1:13">
      <c r="A74" s="237"/>
      <c r="B74" s="4">
        <f t="shared" si="17"/>
        <v>70</v>
      </c>
      <c r="C74" s="4" t="s">
        <v>83</v>
      </c>
      <c r="D74" s="24">
        <v>140</v>
      </c>
      <c r="E74" s="25">
        <f>1500+200</f>
        <v>1700</v>
      </c>
      <c r="F74" s="24">
        <f>250+125</f>
        <v>375</v>
      </c>
      <c r="G74" s="24">
        <v>0</v>
      </c>
      <c r="H74" s="24">
        <v>85</v>
      </c>
      <c r="I74" s="98">
        <f t="shared" si="18"/>
        <v>2300</v>
      </c>
      <c r="J74" s="86">
        <v>292</v>
      </c>
      <c r="K74" s="3">
        <v>584</v>
      </c>
      <c r="L74" s="71">
        <f t="shared" si="15"/>
        <v>2008</v>
      </c>
      <c r="M74" s="133" t="s">
        <v>23</v>
      </c>
    </row>
    <row r="75" spans="1:13">
      <c r="A75" s="237"/>
      <c r="B75" s="4">
        <f t="shared" si="17"/>
        <v>71</v>
      </c>
      <c r="C75" s="4" t="s">
        <v>84</v>
      </c>
      <c r="D75" s="24">
        <v>0</v>
      </c>
      <c r="E75" s="24">
        <v>700</v>
      </c>
      <c r="F75" s="24">
        <v>0</v>
      </c>
      <c r="G75" s="24">
        <v>0</v>
      </c>
      <c r="H75" s="24">
        <v>80</v>
      </c>
      <c r="I75" s="98">
        <f t="shared" si="18"/>
        <v>780</v>
      </c>
      <c r="J75" s="86">
        <v>292</v>
      </c>
      <c r="K75" s="3">
        <v>584</v>
      </c>
      <c r="L75" s="71">
        <f t="shared" si="15"/>
        <v>488</v>
      </c>
      <c r="M75" s="133" t="s">
        <v>23</v>
      </c>
    </row>
    <row r="76" spans="1:13">
      <c r="A76" s="237"/>
      <c r="B76" s="4">
        <f t="shared" si="17"/>
        <v>72</v>
      </c>
      <c r="C76" s="4" t="s">
        <v>85</v>
      </c>
      <c r="D76" s="24">
        <v>300</v>
      </c>
      <c r="E76" s="24">
        <v>252.5</v>
      </c>
      <c r="F76" s="24">
        <v>0</v>
      </c>
      <c r="G76" s="24">
        <v>0</v>
      </c>
      <c r="H76" s="24">
        <v>300</v>
      </c>
      <c r="I76" s="98">
        <f t="shared" si="18"/>
        <v>852.5</v>
      </c>
      <c r="J76" s="86">
        <v>293.5</v>
      </c>
      <c r="K76" s="3">
        <v>499</v>
      </c>
      <c r="L76" s="71">
        <f t="shared" si="15"/>
        <v>647</v>
      </c>
      <c r="M76" s="133" t="s">
        <v>23</v>
      </c>
    </row>
    <row r="77" spans="1:13" ht="15.75" thickBot="1">
      <c r="A77" s="240"/>
      <c r="B77" s="40">
        <f t="shared" si="17"/>
        <v>73</v>
      </c>
      <c r="C77" s="40" t="s">
        <v>87</v>
      </c>
      <c r="D77" s="122">
        <v>0</v>
      </c>
      <c r="E77" s="122">
        <v>350</v>
      </c>
      <c r="F77" s="122">
        <v>0</v>
      </c>
      <c r="G77" s="122">
        <v>0</v>
      </c>
      <c r="H77" s="122">
        <v>190</v>
      </c>
      <c r="I77" s="123">
        <f t="shared" si="18"/>
        <v>540</v>
      </c>
      <c r="J77" s="124">
        <v>182</v>
      </c>
      <c r="K77" s="125">
        <v>499</v>
      </c>
      <c r="L77" s="128">
        <f t="shared" si="15"/>
        <v>223</v>
      </c>
      <c r="M77" s="134" t="s">
        <v>23</v>
      </c>
    </row>
    <row r="78" spans="1:13" ht="26.25" customHeight="1">
      <c r="A78" s="246" t="s">
        <v>88</v>
      </c>
      <c r="B78" s="113">
        <f t="shared" si="17"/>
        <v>74</v>
      </c>
      <c r="C78" s="126" t="s">
        <v>89</v>
      </c>
      <c r="D78" s="115">
        <v>0</v>
      </c>
      <c r="E78" s="115">
        <v>550</v>
      </c>
      <c r="F78" s="115">
        <v>0</v>
      </c>
      <c r="G78" s="115">
        <v>0</v>
      </c>
      <c r="H78" s="115">
        <v>200</v>
      </c>
      <c r="I78" s="79">
        <f t="shared" si="18"/>
        <v>750</v>
      </c>
      <c r="J78" s="115">
        <v>240.5</v>
      </c>
      <c r="K78" s="115">
        <v>481</v>
      </c>
      <c r="L78" s="115">
        <f t="shared" si="15"/>
        <v>509.5</v>
      </c>
      <c r="M78" s="127" t="s">
        <v>124</v>
      </c>
    </row>
    <row r="79" spans="1:13">
      <c r="A79" s="247"/>
      <c r="B79" s="111">
        <f t="shared" si="17"/>
        <v>75</v>
      </c>
      <c r="C79" s="119" t="s">
        <v>90</v>
      </c>
      <c r="D79" s="116">
        <v>0</v>
      </c>
      <c r="E79" s="116">
        <v>900</v>
      </c>
      <c r="F79" s="116">
        <v>300</v>
      </c>
      <c r="G79" s="116">
        <v>0</v>
      </c>
      <c r="H79" s="116">
        <v>0</v>
      </c>
      <c r="I79" s="80">
        <f t="shared" si="18"/>
        <v>1200</v>
      </c>
      <c r="J79" s="116">
        <v>0</v>
      </c>
      <c r="K79" s="81">
        <v>787</v>
      </c>
      <c r="L79" s="81">
        <f t="shared" si="15"/>
        <v>413</v>
      </c>
      <c r="M79" s="142" t="s">
        <v>75</v>
      </c>
    </row>
    <row r="80" spans="1:13">
      <c r="A80" s="247"/>
      <c r="B80" s="111">
        <f t="shared" si="17"/>
        <v>76</v>
      </c>
      <c r="C80" s="119" t="s">
        <v>123</v>
      </c>
      <c r="D80" s="33">
        <v>400</v>
      </c>
      <c r="E80" s="33">
        <v>550</v>
      </c>
      <c r="F80" s="33">
        <v>200</v>
      </c>
      <c r="G80" s="33">
        <v>300</v>
      </c>
      <c r="H80" s="33">
        <v>0</v>
      </c>
      <c r="I80" s="98">
        <f t="shared" si="18"/>
        <v>1450</v>
      </c>
      <c r="J80" s="33">
        <v>0</v>
      </c>
      <c r="K80" s="33">
        <v>584</v>
      </c>
      <c r="L80" s="81">
        <f t="shared" si="15"/>
        <v>866</v>
      </c>
      <c r="M80" s="142" t="s">
        <v>77</v>
      </c>
    </row>
    <row r="81" spans="1:13">
      <c r="A81" s="247"/>
      <c r="B81" s="111">
        <f t="shared" si="17"/>
        <v>77</v>
      </c>
      <c r="C81" s="120" t="s">
        <v>91</v>
      </c>
      <c r="D81" s="81">
        <v>200</v>
      </c>
      <c r="E81" s="81">
        <v>515</v>
      </c>
      <c r="F81" s="81">
        <v>350</v>
      </c>
      <c r="G81" s="81">
        <v>0</v>
      </c>
      <c r="H81" s="81">
        <v>105</v>
      </c>
      <c r="I81" s="80">
        <f t="shared" si="18"/>
        <v>1170</v>
      </c>
      <c r="J81" s="81">
        <v>250</v>
      </c>
      <c r="K81" s="81">
        <v>499</v>
      </c>
      <c r="L81" s="81">
        <f t="shared" si="15"/>
        <v>921</v>
      </c>
      <c r="M81" s="142" t="s">
        <v>23</v>
      </c>
    </row>
    <row r="82" spans="1:13" ht="15.75" thickBot="1">
      <c r="A82" s="248"/>
      <c r="B82" s="112">
        <f t="shared" si="17"/>
        <v>78</v>
      </c>
      <c r="C82" s="121" t="s">
        <v>113</v>
      </c>
      <c r="D82" s="118">
        <v>0</v>
      </c>
      <c r="E82" s="118">
        <v>700</v>
      </c>
      <c r="F82" s="118">
        <v>100</v>
      </c>
      <c r="G82" s="118">
        <v>0</v>
      </c>
      <c r="H82" s="118">
        <v>0</v>
      </c>
      <c r="I82" s="114">
        <f t="shared" si="18"/>
        <v>800</v>
      </c>
      <c r="J82" s="118">
        <v>0</v>
      </c>
      <c r="K82" s="118">
        <v>499</v>
      </c>
      <c r="L82" s="82">
        <f t="shared" si="15"/>
        <v>301</v>
      </c>
      <c r="M82" s="143" t="s">
        <v>23</v>
      </c>
    </row>
    <row r="83" spans="1:13" ht="30">
      <c r="A83" s="236" t="s">
        <v>92</v>
      </c>
      <c r="B83" s="46">
        <f t="shared" si="17"/>
        <v>79</v>
      </c>
      <c r="C83" s="222" t="s">
        <v>154</v>
      </c>
      <c r="D83" s="50">
        <v>0</v>
      </c>
      <c r="E83" s="50">
        <v>200</v>
      </c>
      <c r="F83" s="50">
        <v>150</v>
      </c>
      <c r="G83" s="50">
        <v>150</v>
      </c>
      <c r="H83" s="50">
        <v>500</v>
      </c>
      <c r="I83" s="97">
        <f t="shared" si="18"/>
        <v>1000</v>
      </c>
      <c r="J83" s="50">
        <v>240.5</v>
      </c>
      <c r="K83" s="50">
        <v>481</v>
      </c>
      <c r="L83" s="91">
        <f t="shared" si="15"/>
        <v>759.5</v>
      </c>
      <c r="M83" s="130" t="s">
        <v>124</v>
      </c>
    </row>
    <row r="84" spans="1:13" s="12" customFormat="1">
      <c r="A84" s="237"/>
      <c r="B84" s="4">
        <f t="shared" si="17"/>
        <v>80</v>
      </c>
      <c r="C84" s="206" t="s">
        <v>150</v>
      </c>
      <c r="D84" s="9">
        <v>0</v>
      </c>
      <c r="E84" s="9">
        <v>375</v>
      </c>
      <c r="F84" s="9">
        <v>250</v>
      </c>
      <c r="G84" s="9">
        <v>0</v>
      </c>
      <c r="H84" s="9">
        <v>245</v>
      </c>
      <c r="I84" s="98">
        <f t="shared" si="18"/>
        <v>870</v>
      </c>
      <c r="J84" s="3">
        <v>292</v>
      </c>
      <c r="K84" s="177">
        <f>687*0.85</f>
        <v>583.94999999999993</v>
      </c>
      <c r="L84" s="177">
        <f t="shared" si="15"/>
        <v>578.05000000000007</v>
      </c>
      <c r="M84" s="131" t="s">
        <v>77</v>
      </c>
    </row>
    <row r="85" spans="1:13" ht="30">
      <c r="A85" s="237"/>
      <c r="B85" s="4">
        <f t="shared" si="17"/>
        <v>81</v>
      </c>
      <c r="C85" s="35" t="s">
        <v>93</v>
      </c>
      <c r="D85" s="3">
        <v>0</v>
      </c>
      <c r="E85" s="3">
        <v>883</v>
      </c>
      <c r="F85" s="3">
        <v>125</v>
      </c>
      <c r="G85" s="3">
        <v>275</v>
      </c>
      <c r="H85" s="3">
        <v>480</v>
      </c>
      <c r="I85" s="98">
        <f t="shared" si="18"/>
        <v>1763</v>
      </c>
      <c r="J85" s="3">
        <v>86</v>
      </c>
      <c r="K85" s="3">
        <v>172</v>
      </c>
      <c r="L85" s="71">
        <f t="shared" si="15"/>
        <v>1677</v>
      </c>
      <c r="M85" s="133" t="s">
        <v>133</v>
      </c>
    </row>
    <row r="86" spans="1:13">
      <c r="A86" s="237"/>
      <c r="B86" s="4">
        <f t="shared" si="17"/>
        <v>82</v>
      </c>
      <c r="C86" s="63" t="s">
        <v>94</v>
      </c>
      <c r="D86" s="3">
        <v>0</v>
      </c>
      <c r="E86" s="3">
        <v>87</v>
      </c>
      <c r="F86" s="3">
        <v>333</v>
      </c>
      <c r="G86" s="3">
        <v>150</v>
      </c>
      <c r="H86" s="3">
        <v>585</v>
      </c>
      <c r="I86" s="98">
        <f t="shared" si="18"/>
        <v>1155</v>
      </c>
      <c r="J86" s="3">
        <v>292</v>
      </c>
      <c r="K86" s="177">
        <f>687*0.85</f>
        <v>583.94999999999993</v>
      </c>
      <c r="L86" s="71">
        <f>I86+J86-K86</f>
        <v>863.05000000000007</v>
      </c>
      <c r="M86" s="133" t="s">
        <v>77</v>
      </c>
    </row>
    <row r="87" spans="1:13">
      <c r="A87" s="237"/>
      <c r="B87" s="4">
        <f t="shared" si="17"/>
        <v>83</v>
      </c>
      <c r="C87" s="35" t="s">
        <v>136</v>
      </c>
      <c r="D87" s="3">
        <v>0</v>
      </c>
      <c r="E87" s="3">
        <v>175</v>
      </c>
      <c r="F87" s="3">
        <v>125</v>
      </c>
      <c r="G87" s="3">
        <v>0</v>
      </c>
      <c r="H87" s="3">
        <v>265</v>
      </c>
      <c r="I87" s="98">
        <f t="shared" si="18"/>
        <v>565</v>
      </c>
      <c r="J87" s="3">
        <v>181</v>
      </c>
      <c r="K87" s="3">
        <v>499</v>
      </c>
      <c r="L87" s="71">
        <f t="shared" si="15"/>
        <v>247</v>
      </c>
      <c r="M87" s="133" t="s">
        <v>23</v>
      </c>
    </row>
    <row r="88" spans="1:13" ht="15.75" thickBot="1">
      <c r="A88" s="238"/>
      <c r="B88" s="47">
        <f t="shared" si="17"/>
        <v>84</v>
      </c>
      <c r="C88" s="210" t="s">
        <v>151</v>
      </c>
      <c r="D88" s="49">
        <v>0</v>
      </c>
      <c r="E88" s="49">
        <v>0</v>
      </c>
      <c r="F88" s="49">
        <v>125</v>
      </c>
      <c r="G88" s="49">
        <v>0</v>
      </c>
      <c r="H88" s="49">
        <v>330</v>
      </c>
      <c r="I88" s="95">
        <f t="shared" si="18"/>
        <v>455</v>
      </c>
      <c r="J88" s="49">
        <v>249.5</v>
      </c>
      <c r="K88" s="49">
        <v>499</v>
      </c>
      <c r="L88" s="106">
        <f t="shared" si="15"/>
        <v>205.5</v>
      </c>
      <c r="M88" s="144" t="s">
        <v>23</v>
      </c>
    </row>
    <row r="89" spans="1:13" ht="21.75" customHeight="1">
      <c r="A89" s="236" t="s">
        <v>95</v>
      </c>
      <c r="B89" s="46">
        <f t="shared" si="17"/>
        <v>85</v>
      </c>
      <c r="C89" s="59" t="s">
        <v>96</v>
      </c>
      <c r="D89" s="50">
        <v>0</v>
      </c>
      <c r="E89" s="50">
        <v>350</v>
      </c>
      <c r="F89" s="50">
        <v>0</v>
      </c>
      <c r="G89" s="50">
        <v>0</v>
      </c>
      <c r="H89" s="50">
        <v>0</v>
      </c>
      <c r="I89" s="97">
        <f t="shared" si="18"/>
        <v>350</v>
      </c>
      <c r="J89" s="50">
        <v>86</v>
      </c>
      <c r="K89" s="61">
        <v>172</v>
      </c>
      <c r="L89" s="91">
        <f t="shared" si="15"/>
        <v>264</v>
      </c>
      <c r="M89" s="137" t="s">
        <v>114</v>
      </c>
    </row>
    <row r="90" spans="1:13" ht="30.75" thickBot="1">
      <c r="A90" s="238"/>
      <c r="B90" s="47">
        <f t="shared" si="17"/>
        <v>86</v>
      </c>
      <c r="C90" s="60" t="s">
        <v>69</v>
      </c>
      <c r="D90" s="49">
        <v>250</v>
      </c>
      <c r="E90" s="49">
        <v>450</v>
      </c>
      <c r="F90" s="49">
        <v>0</v>
      </c>
      <c r="G90" s="49">
        <v>0</v>
      </c>
      <c r="H90" s="49">
        <v>0</v>
      </c>
      <c r="I90" s="95">
        <f t="shared" si="18"/>
        <v>700</v>
      </c>
      <c r="J90" s="49">
        <v>86</v>
      </c>
      <c r="K90" s="62">
        <v>172</v>
      </c>
      <c r="L90" s="106">
        <f t="shared" si="15"/>
        <v>614</v>
      </c>
      <c r="M90" s="144" t="s">
        <v>115</v>
      </c>
    </row>
    <row r="91" spans="1:13">
      <c r="A91" s="13"/>
      <c r="B91" s="28"/>
      <c r="C91" s="13"/>
      <c r="D91" s="1"/>
      <c r="E91" s="1"/>
      <c r="F91" s="1"/>
      <c r="G91" s="1"/>
      <c r="H91" s="1"/>
      <c r="I91" s="92"/>
      <c r="J91" s="23"/>
      <c r="K91" s="1"/>
      <c r="L91" s="23"/>
      <c r="M91" s="145"/>
    </row>
    <row r="92" spans="1:13">
      <c r="A92" s="13"/>
      <c r="B92" s="13"/>
      <c r="C92" s="13"/>
      <c r="D92" s="1"/>
      <c r="E92" s="1"/>
      <c r="F92" s="1"/>
      <c r="G92" s="1"/>
      <c r="H92" s="254" t="s">
        <v>137</v>
      </c>
      <c r="I92" s="254"/>
      <c r="J92" s="254"/>
      <c r="K92" s="254"/>
      <c r="L92" s="254"/>
      <c r="M92" s="254"/>
    </row>
    <row r="93" spans="1:13" ht="15.75">
      <c r="A93" s="13"/>
      <c r="B93" s="13"/>
      <c r="C93" s="13"/>
      <c r="D93" s="1"/>
      <c r="E93" s="1"/>
      <c r="F93" s="1"/>
      <c r="G93" s="1"/>
      <c r="H93" s="255" t="s">
        <v>143</v>
      </c>
      <c r="I93" s="255"/>
      <c r="J93" s="255"/>
      <c r="K93" s="255"/>
      <c r="L93" s="255"/>
      <c r="M93" s="255"/>
    </row>
    <row r="94" spans="1:13" ht="15.75">
      <c r="A94" s="13"/>
      <c r="B94" s="13"/>
      <c r="C94" s="13"/>
      <c r="D94" s="1"/>
      <c r="E94" s="1"/>
      <c r="F94" s="1"/>
      <c r="G94" s="1"/>
      <c r="H94" s="11"/>
      <c r="I94" s="100"/>
      <c r="J94" s="11"/>
      <c r="K94" s="11"/>
      <c r="L94" s="219"/>
      <c r="M94" s="146"/>
    </row>
    <row r="95" spans="1:13" s="29" customFormat="1" ht="15.75">
      <c r="A95" s="28"/>
      <c r="B95" s="28"/>
      <c r="C95" s="28"/>
      <c r="D95" s="15"/>
      <c r="E95" s="15"/>
      <c r="F95" s="15"/>
      <c r="G95" s="15"/>
      <c r="H95" s="15"/>
      <c r="I95" s="101"/>
      <c r="J95" s="15"/>
      <c r="K95" s="31"/>
      <c r="L95" s="220"/>
      <c r="M95" s="147"/>
    </row>
    <row r="96" spans="1:13">
      <c r="A96" s="13"/>
      <c r="B96" s="13"/>
      <c r="C96" s="17"/>
      <c r="D96" s="1"/>
      <c r="E96" s="1"/>
      <c r="F96" s="1"/>
      <c r="G96" s="1"/>
      <c r="H96" s="1"/>
      <c r="I96" s="92"/>
      <c r="J96" s="23"/>
      <c r="K96" s="1"/>
      <c r="L96" s="23"/>
      <c r="M96" s="129"/>
    </row>
    <row r="97" spans="1:13" ht="16.5">
      <c r="A97" s="30"/>
      <c r="B97" s="30"/>
      <c r="C97" s="19"/>
      <c r="D97" s="26"/>
      <c r="E97" s="26"/>
      <c r="F97" s="26"/>
      <c r="G97" s="26"/>
      <c r="H97" s="256" t="s">
        <v>97</v>
      </c>
      <c r="I97" s="256"/>
      <c r="J97" s="256"/>
      <c r="K97" s="256"/>
      <c r="L97" s="256"/>
      <c r="M97" s="256"/>
    </row>
    <row r="98" spans="1:13">
      <c r="A98" s="239" t="s">
        <v>98</v>
      </c>
      <c r="B98" s="239"/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</row>
    <row r="99" spans="1:13">
      <c r="A99" s="20" t="s">
        <v>99</v>
      </c>
      <c r="B99" s="20"/>
      <c r="C99" s="20"/>
      <c r="D99" s="5"/>
      <c r="E99" s="5"/>
      <c r="F99" s="5"/>
      <c r="G99" s="5"/>
      <c r="H99" s="5"/>
      <c r="I99" s="92"/>
      <c r="J99" s="6"/>
      <c r="K99" s="5"/>
      <c r="L99" s="6"/>
      <c r="M99" s="148"/>
    </row>
    <row r="100" spans="1:13" ht="15" customHeight="1">
      <c r="A100" s="252" t="s">
        <v>100</v>
      </c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149"/>
    </row>
    <row r="101" spans="1:13" ht="15" customHeight="1">
      <c r="A101" s="253" t="s">
        <v>142</v>
      </c>
      <c r="B101" s="253"/>
      <c r="C101" s="253"/>
      <c r="D101" s="253"/>
      <c r="E101" s="253"/>
      <c r="F101" s="253"/>
      <c r="G101" s="253"/>
      <c r="H101" s="253"/>
      <c r="I101" s="253"/>
      <c r="J101" s="253"/>
      <c r="K101" s="253"/>
      <c r="L101" s="253"/>
      <c r="M101" s="253"/>
    </row>
    <row r="102" spans="1:13" ht="15" customHeight="1">
      <c r="A102" s="253" t="s">
        <v>141</v>
      </c>
      <c r="B102" s="253"/>
      <c r="C102" s="253"/>
      <c r="D102" s="253"/>
      <c r="E102" s="253"/>
      <c r="F102" s="253"/>
      <c r="G102" s="253"/>
      <c r="H102" s="253"/>
      <c r="I102" s="253"/>
      <c r="J102" s="253"/>
      <c r="K102" s="253"/>
      <c r="L102" s="253"/>
      <c r="M102" s="148"/>
    </row>
    <row r="103" spans="1:13">
      <c r="A103" s="13" t="s">
        <v>101</v>
      </c>
      <c r="B103" s="13"/>
      <c r="C103" s="17"/>
      <c r="D103" s="1"/>
      <c r="E103" s="1"/>
      <c r="F103" s="1"/>
      <c r="G103" s="1"/>
      <c r="H103" s="1"/>
      <c r="I103" s="92"/>
      <c r="J103" s="23"/>
      <c r="K103" s="1"/>
      <c r="L103" s="23"/>
      <c r="M103" s="129"/>
    </row>
    <row r="104" spans="1:13">
      <c r="A104" s="17"/>
      <c r="B104" s="22"/>
      <c r="C104" s="17" t="s">
        <v>102</v>
      </c>
      <c r="I104" s="102"/>
      <c r="J104" s="27"/>
    </row>
    <row r="105" spans="1:13">
      <c r="A105" s="17"/>
      <c r="B105" s="22"/>
      <c r="C105" s="17" t="s">
        <v>103</v>
      </c>
      <c r="I105" s="102"/>
      <c r="J105" s="27"/>
    </row>
    <row r="106" spans="1:13">
      <c r="A106" s="17" t="s">
        <v>157</v>
      </c>
      <c r="B106" s="22"/>
      <c r="C106" s="17"/>
      <c r="I106" s="102"/>
      <c r="J106" s="27"/>
    </row>
  </sheetData>
  <mergeCells count="23">
    <mergeCell ref="A100:L100"/>
    <mergeCell ref="A101:M101"/>
    <mergeCell ref="A102:L102"/>
    <mergeCell ref="A71:A77"/>
    <mergeCell ref="A83:A88"/>
    <mergeCell ref="H92:M92"/>
    <mergeCell ref="H93:M93"/>
    <mergeCell ref="H97:M97"/>
    <mergeCell ref="A1:C1"/>
    <mergeCell ref="A2:C2"/>
    <mergeCell ref="A3:M3"/>
    <mergeCell ref="A13:A30"/>
    <mergeCell ref="A98:M98"/>
    <mergeCell ref="A61:A70"/>
    <mergeCell ref="A8:A12"/>
    <mergeCell ref="A5:A7"/>
    <mergeCell ref="A89:A90"/>
    <mergeCell ref="A31:A36"/>
    <mergeCell ref="A48:A55"/>
    <mergeCell ref="A78:A82"/>
    <mergeCell ref="A37:A40"/>
    <mergeCell ref="A41:A47"/>
    <mergeCell ref="A56:A60"/>
  </mergeCells>
  <conditionalFormatting sqref="L36 L8:L12 L6 L56:L60">
    <cfRule type="cellIs" dxfId="1" priority="11" stopIfTrue="1" operator="lessThan">
      <formula>0</formula>
    </cfRule>
  </conditionalFormatting>
  <conditionalFormatting sqref="L79:L82">
    <cfRule type="cellIs" dxfId="0" priority="9" stopIfTrue="1" operator="lessThan">
      <formula>0</formula>
    </cfRule>
  </conditionalFormatting>
  <pageMargins left="0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2023-08-01T01:30:53Z</dcterms:created>
  <dcterms:modified xsi:type="dcterms:W3CDTF">2023-08-28T09:50:22Z</dcterms:modified>
</cp:coreProperties>
</file>